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90" state="veryHidden" r:id="rId3"/>
    <sheet name="Sheet3" sheetId="91" state="veryHidden" r:id="rId4"/>
    <sheet name="Sheet4" sheetId="9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6" i="1"/>
  <c r="C777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6" i="1"/>
  <c r="B777" i="1"/>
  <c r="B12" i="1"/>
  <c r="H5" i="2"/>
  <c r="I5" i="2"/>
  <c r="J5" i="2"/>
  <c r="L5" i="2"/>
  <c r="L6" i="2"/>
</calcChain>
</file>

<file path=xl/sharedStrings.xml><?xml version="1.0" encoding="utf-8"?>
<sst xmlns="http://schemas.openxmlformats.org/spreadsheetml/2006/main" count="14676" uniqueCount="12266">
  <si>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</si>
  <si>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</si>
  <si>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</si>
  <si>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</si>
  <si>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</si>
  <si>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</si>
  <si>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</si>
  <si>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</si>
  <si>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</si>
  <si>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</si>
  <si>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</si>
  <si>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</si>
  <si>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</si>
  <si>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</si>
  <si>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</si>
  <si>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</si>
  <si>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</si>
  <si>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</si>
  <si>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</si>
  <si>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</si>
  <si>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</si>
  <si>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</si>
  <si>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</si>
  <si>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</si>
  <si>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</si>
  <si>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</si>
  <si>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</si>
  <si>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</si>
  <si>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</si>
  <si>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</si>
  <si>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</si>
  <si>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</si>
  <si>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</si>
  <si>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</si>
  <si>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</si>
  <si>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</si>
  <si>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</si>
  <si>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</si>
  <si>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</si>
  <si>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</si>
  <si>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</si>
  <si>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</si>
  <si>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</si>
  <si>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</si>
  <si>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</si>
  <si>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</si>
  <si>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</si>
  <si>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</si>
  <si>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</si>
  <si>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</si>
  <si>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</si>
  <si>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</si>
  <si>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</si>
  <si>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</si>
  <si>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</si>
  <si>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</si>
  <si>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</si>
  <si>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</si>
  <si>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</si>
  <si>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</si>
  <si>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</si>
  <si>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</si>
  <si>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</si>
  <si>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</si>
  <si>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</si>
  <si>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</si>
  <si>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</si>
  <si>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</si>
  <si>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</si>
  <si>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</si>
  <si>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</si>
  <si>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</si>
  <si>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</si>
  <si>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</si>
  <si>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</si>
  <si>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</si>
  <si>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</si>
  <si>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</si>
  <si>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</si>
  <si>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</si>
  <si>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</si>
  <si>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</si>
  <si>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</si>
  <si>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</si>
  <si>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</si>
  <si>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</si>
  <si>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</si>
  <si>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</si>
  <si>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</si>
  <si>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</si>
  <si>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</si>
  <si>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</si>
  <si>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</si>
  <si>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</si>
  <si>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</si>
  <si>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</si>
  <si>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</si>
  <si>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</si>
  <si>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</si>
  <si>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</si>
  <si>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</si>
  <si>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</si>
  <si>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</si>
  <si>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</si>
  <si>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</si>
  <si>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</si>
  <si>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</si>
  <si>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</si>
  <si>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</si>
  <si>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</si>
  <si>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</si>
  <si>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</si>
  <si>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</si>
  <si>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</si>
  <si>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</si>
  <si>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</si>
  <si>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</si>
  <si>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</si>
  <si>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</si>
  <si>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</si>
  <si>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</si>
  <si>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</si>
  <si>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</si>
  <si>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</si>
  <si>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</si>
  <si>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</si>
  <si>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</si>
  <si>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</si>
  <si>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</si>
  <si>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</si>
  <si>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</si>
  <si>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</si>
  <si>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</si>
  <si>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</si>
  <si>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</si>
  <si>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</si>
  <si>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</si>
  <si>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</si>
  <si>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</si>
  <si>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</si>
  <si>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</si>
  <si>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</si>
  <si>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</si>
  <si>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</si>
  <si>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</si>
  <si>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</si>
  <si>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</si>
  <si>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</si>
  <si>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</si>
  <si>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</si>
  <si>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</si>
  <si>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</si>
  <si>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</si>
  <si>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</si>
  <si>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</si>
  <si>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</si>
  <si>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</si>
  <si>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</si>
  <si>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</si>
  <si>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</si>
  <si>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</si>
  <si>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</si>
  <si>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</si>
  <si>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</si>
  <si>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</si>
  <si>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</si>
  <si>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</si>
  <si>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</si>
  <si>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</si>
  <si>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</si>
  <si>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</si>
  <si>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</si>
  <si>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</si>
  <si>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</si>
  <si>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</si>
  <si>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</si>
  <si>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</si>
  <si>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</si>
  <si>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</si>
  <si>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</si>
  <si>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</si>
  <si>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</si>
  <si>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</si>
  <si>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</si>
  <si>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</si>
  <si>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</si>
  <si>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</si>
  <si>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</si>
  <si>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</si>
  <si>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</si>
  <si>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</si>
  <si>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</si>
  <si>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</si>
  <si>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</si>
  <si>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</si>
  <si>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</si>
  <si>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</si>
  <si>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</si>
  <si>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</si>
  <si>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</si>
  <si>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</si>
  <si>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</si>
  <si>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</si>
  <si>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</si>
  <si>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</si>
  <si>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</si>
  <si>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</si>
  <si>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</si>
  <si>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</si>
  <si>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</si>
  <si>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</si>
  <si>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</si>
  <si>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</si>
  <si>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</si>
  <si>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</si>
  <si>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</si>
  <si>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</si>
  <si>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</si>
  <si>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</si>
  <si>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</si>
  <si>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</si>
  <si>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</si>
  <si>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</si>
  <si>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</si>
  <si>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</si>
  <si>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</si>
  <si>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</si>
  <si>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</si>
  <si>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</si>
  <si>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</si>
  <si>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</si>
  <si>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</si>
  <si>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</si>
  <si>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</si>
  <si>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</si>
  <si>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</si>
  <si>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</si>
  <si>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</si>
  <si>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</si>
  <si>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</si>
  <si>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</si>
  <si>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</si>
  <si>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</si>
  <si>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</si>
  <si>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</si>
  <si>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</si>
  <si>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</si>
  <si>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</si>
  <si>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</si>
  <si>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</si>
  <si>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</si>
  <si>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</si>
  <si>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</si>
  <si>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</si>
  <si>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</si>
  <si>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</si>
  <si>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</si>
  <si>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</si>
  <si>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</si>
  <si>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</si>
  <si>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</si>
  <si>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</si>
  <si>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</si>
  <si>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</si>
  <si>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</si>
  <si>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</si>
  <si>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</si>
  <si>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</si>
  <si>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</si>
  <si>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</si>
  <si>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</si>
  <si>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</si>
  <si>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</si>
  <si>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</si>
  <si>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</si>
  <si>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</si>
  <si>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</si>
  <si>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</si>
  <si>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</si>
  <si>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</si>
  <si>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</si>
  <si>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</si>
  <si>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</si>
  <si>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</si>
  <si>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</si>
  <si>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</si>
  <si>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</si>
  <si>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</si>
  <si>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</si>
  <si>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</si>
  <si>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</si>
  <si>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</si>
  <si>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</si>
  <si>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</si>
  <si>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</si>
  <si>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</si>
  <si>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</si>
  <si>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</si>
  <si>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</si>
  <si>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</si>
  <si>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</si>
  <si>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</si>
  <si>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</si>
  <si>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</si>
  <si>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</si>
  <si>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</si>
  <si>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</si>
  <si>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</si>
  <si>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</si>
  <si>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</si>
  <si>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</si>
  <si>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</si>
  <si>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</si>
  <si>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</si>
  <si>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</si>
  <si>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</si>
  <si>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</si>
  <si>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</si>
  <si>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</si>
  <si>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</si>
  <si>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</si>
  <si>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</si>
  <si>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</si>
  <si>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</si>
  <si>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</si>
  <si>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</si>
  <si>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</si>
  <si>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</si>
  <si>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</si>
  <si>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</si>
  <si>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</si>
  <si>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</si>
  <si>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</si>
  <si>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</si>
  <si>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</si>
  <si>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</si>
  <si>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</si>
  <si>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</si>
  <si>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</si>
  <si>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</si>
  <si>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</si>
  <si>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</si>
  <si>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</si>
  <si>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</si>
  <si>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</si>
  <si>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</si>
  <si>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</si>
  <si>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</si>
  <si>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</si>
  <si>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</si>
  <si>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</si>
  <si>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</si>
  <si>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</si>
  <si>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</si>
  <si>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</si>
  <si>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</si>
  <si>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</si>
  <si>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</si>
  <si>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</si>
  <si>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</si>
  <si>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</si>
  <si>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</si>
  <si>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</si>
  <si>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</si>
  <si>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</si>
  <si>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</si>
  <si>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</si>
  <si>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</si>
  <si>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</si>
  <si>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</si>
  <si>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</si>
  <si>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</si>
  <si>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</si>
  <si>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</si>
  <si>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</si>
  <si>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</si>
  <si>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</si>
  <si>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</si>
  <si>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</si>
  <si>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</si>
  <si>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</si>
  <si>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</si>
  <si>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</si>
  <si>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</si>
  <si>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</si>
  <si>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</si>
  <si>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</si>
  <si>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</si>
  <si>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</si>
  <si>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</si>
  <si>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</si>
  <si>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</si>
  <si>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</si>
  <si>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</si>
  <si>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</si>
  <si>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</si>
  <si>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</si>
  <si>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</si>
  <si>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</si>
  <si>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</si>
  <si>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</si>
  <si>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</si>
  <si>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</si>
  <si>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</si>
  <si>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</si>
  <si>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</si>
  <si>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</si>
  <si>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</si>
  <si>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</si>
  <si>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</si>
  <si>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</si>
  <si>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</si>
  <si>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</si>
  <si>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</si>
  <si>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</si>
  <si>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</si>
  <si>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</si>
  <si>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</si>
  <si>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</si>
  <si>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</si>
  <si>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</si>
  <si>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</si>
  <si>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</si>
  <si>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</si>
  <si>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</si>
  <si>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</si>
  <si>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</si>
  <si>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</si>
  <si>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</si>
  <si>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</si>
  <si>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</si>
  <si>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</si>
  <si>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</si>
  <si>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</si>
  <si>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</si>
  <si>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</si>
  <si>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</si>
  <si>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</si>
  <si>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</si>
  <si>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</si>
  <si>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</si>
  <si>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</si>
  <si>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</si>
  <si>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</si>
  <si>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</si>
  <si>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</si>
  <si>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</si>
  <si>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</si>
  <si>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</si>
  <si>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</si>
  <si>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</si>
  <si>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</si>
  <si>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</si>
  <si>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</si>
  <si>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</si>
  <si>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</si>
  <si>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</si>
  <si>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</si>
  <si>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</si>
  <si>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</si>
  <si>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</si>
  <si>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</si>
  <si>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</si>
  <si>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</si>
  <si>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</si>
  <si>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</si>
  <si>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</si>
  <si>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</si>
  <si>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</si>
  <si>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</si>
  <si>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</si>
  <si>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</si>
  <si>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</si>
  <si>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</si>
  <si>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</si>
  <si>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</si>
  <si>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</si>
  <si>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</si>
  <si>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</si>
  <si>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</si>
  <si>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</si>
  <si>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</si>
  <si>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</si>
  <si>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</si>
  <si>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</si>
  <si>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</si>
  <si>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</si>
  <si>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</si>
  <si>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</si>
  <si>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</si>
  <si>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</si>
  <si>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</si>
  <si>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</si>
  <si>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</si>
  <si>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</si>
  <si>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</si>
  <si>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</si>
  <si>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</si>
  <si>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</si>
  <si>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</si>
  <si>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</si>
  <si>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</si>
  <si>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</si>
  <si>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</si>
  <si>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</si>
  <si>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</si>
  <si>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</si>
  <si>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</si>
  <si>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</si>
  <si>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</si>
  <si>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</si>
  <si>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</si>
  <si>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</si>
  <si>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</si>
  <si>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</si>
  <si>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</si>
  <si>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</si>
  <si>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</si>
  <si>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</si>
  <si>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</si>
  <si>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</si>
  <si>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</si>
  <si>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</si>
  <si>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</si>
  <si>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</si>
  <si>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</si>
  <si>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</si>
  <si>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</si>
  <si>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</si>
  <si>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</si>
  <si>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</si>
  <si>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</si>
  <si>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</si>
  <si>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</si>
  <si>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</si>
  <si>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</si>
  <si>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</si>
  <si>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</si>
  <si>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</si>
  <si>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</si>
  <si>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</si>
  <si>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</si>
  <si>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</si>
  <si>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</si>
  <si>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</si>
  <si>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</si>
  <si>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</si>
  <si>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</si>
  <si>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</si>
  <si>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</si>
  <si>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</si>
  <si>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</si>
  <si>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</si>
  <si>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</si>
  <si>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</si>
  <si>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</si>
  <si>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</si>
  <si>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</si>
  <si>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</si>
  <si>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</si>
  <si>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</si>
  <si>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</si>
  <si>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</si>
  <si>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</si>
  <si>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</si>
  <si>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</si>
  <si>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</si>
  <si>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</si>
  <si>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</si>
  <si>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</si>
  <si>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</si>
  <si>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</si>
  <si>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</si>
  <si>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</si>
  <si>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</si>
  <si>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</si>
  <si>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</si>
  <si>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</si>
  <si>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</si>
  <si>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</si>
  <si>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</si>
  <si>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</si>
  <si>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</si>
  <si>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</si>
  <si>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</si>
  <si>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</si>
  <si>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</si>
  <si>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</si>
  <si>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</si>
  <si>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</si>
  <si>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</si>
  <si>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</si>
  <si>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</si>
  <si>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</si>
  <si>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</si>
  <si>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</si>
  <si>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</si>
  <si>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</si>
  <si>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</si>
  <si>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</si>
  <si>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</si>
  <si>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</si>
  <si>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</si>
  <si>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</si>
  <si>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</si>
  <si>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</si>
  <si>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</si>
  <si>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</si>
  <si>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</si>
  <si>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</si>
  <si>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</si>
  <si>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</si>
  <si>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</si>
  <si>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</si>
  <si>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</si>
  <si>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</si>
  <si>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</si>
  <si>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</si>
  <si>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</si>
  <si>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</si>
  <si>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</si>
  <si>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</si>
  <si>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</si>
  <si>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</si>
  <si>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</si>
  <si>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</si>
  <si>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</si>
  <si>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</si>
  <si>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</si>
  <si>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</si>
  <si>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</si>
  <si>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</si>
  <si>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</si>
  <si>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</si>
  <si>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</si>
  <si>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</si>
  <si>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</si>
  <si>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</si>
  <si>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</si>
  <si>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</si>
  <si>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</si>
  <si>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</si>
  <si>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</si>
  <si>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</si>
  <si>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</si>
  <si>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</si>
  <si>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</si>
  <si>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</si>
  <si>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</si>
  <si>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</si>
  <si>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</si>
  <si>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</si>
  <si>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</si>
  <si>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</si>
  <si>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</si>
  <si>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</si>
  <si>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</si>
  <si>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</si>
  <si>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</si>
  <si>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</si>
  <si>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</si>
  <si>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</si>
  <si>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</si>
  <si>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</si>
  <si>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</si>
  <si>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</si>
  <si>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</si>
  <si>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</si>
  <si>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</si>
  <si>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</si>
  <si>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</si>
  <si>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</si>
  <si>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</si>
  <si>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</si>
  <si>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</si>
  <si>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</si>
  <si>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</si>
  <si>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</si>
  <si>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</si>
  <si>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</si>
  <si>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</si>
  <si>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</si>
  <si>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</si>
  <si>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</si>
  <si>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</si>
  <si>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</si>
  <si>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</si>
  <si>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</si>
  <si>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</si>
  <si>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</si>
  <si>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</si>
  <si>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</si>
  <si>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</si>
  <si>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</si>
  <si>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</si>
  <si>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</si>
  <si>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</si>
  <si>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</si>
  <si>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</si>
  <si>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</si>
  <si>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</si>
  <si>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</si>
  <si>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</si>
  <si>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</si>
  <si>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</si>
  <si>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</si>
  <si>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</si>
  <si>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</si>
  <si>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</si>
  <si>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</si>
  <si>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</si>
  <si>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</si>
  <si>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</si>
  <si>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</si>
  <si>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</si>
  <si>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</si>
  <si>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</si>
  <si>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</si>
  <si>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</si>
  <si>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</si>
  <si>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</si>
  <si>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</si>
  <si>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</si>
  <si>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</si>
  <si>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</si>
  <si>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</si>
  <si>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</si>
  <si>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</si>
  <si>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</si>
  <si>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</si>
  <si>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</si>
  <si>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</si>
  <si>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</si>
  <si>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</si>
  <si>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</si>
  <si>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</si>
  <si>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</si>
  <si>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</si>
  <si>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</si>
  <si>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</si>
  <si>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</si>
  <si>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</si>
  <si>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</si>
  <si>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</si>
  <si>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</si>
  <si>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</si>
  <si>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</si>
  <si>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</si>
  <si>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</si>
  <si>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</si>
  <si>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</si>
  <si>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</si>
  <si>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</si>
  <si>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</si>
  <si>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</si>
  <si>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</si>
  <si>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</si>
  <si>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</si>
  <si>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</si>
  <si>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</si>
  <si>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</si>
  <si>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</si>
  <si>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</si>
  <si>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</si>
  <si>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</si>
  <si>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</si>
  <si>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</si>
  <si>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</si>
  <si>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</si>
  <si>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</si>
  <si>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</si>
  <si>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</si>
  <si>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</si>
  <si>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</si>
  <si>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</si>
  <si>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</si>
  <si>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</si>
  <si>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</si>
  <si>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</si>
  <si>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</si>
  <si>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</si>
  <si>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</si>
  <si>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</si>
  <si>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</si>
  <si>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</si>
  <si>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</si>
  <si>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</si>
  <si>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</si>
  <si>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</si>
  <si>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</si>
  <si>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</si>
  <si>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</si>
  <si>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</si>
  <si>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</si>
  <si>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</si>
  <si>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</si>
  <si>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</si>
  <si>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</si>
  <si>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</si>
  <si>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</si>
  <si>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</si>
  <si>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</si>
  <si>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</si>
  <si>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</si>
  <si>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</si>
  <si>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</si>
  <si>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</si>
  <si>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</si>
  <si>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</si>
  <si>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</si>
  <si>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</si>
  <si>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</si>
  <si>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</si>
  <si>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</si>
  <si>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</si>
  <si>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</si>
  <si>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</si>
  <si>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</si>
  <si>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</si>
  <si>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</si>
  <si>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</si>
  <si>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</si>
  <si>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</si>
  <si>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</si>
  <si>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</si>
  <si>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</si>
  <si>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</si>
  <si>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</si>
  <si>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</si>
  <si>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</si>
  <si>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</si>
  <si>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</si>
  <si>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</si>
  <si>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</si>
  <si>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</si>
  <si>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</si>
  <si>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</si>
  <si>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</si>
  <si>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</si>
  <si>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</si>
  <si>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</si>
  <si>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</si>
  <si>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</si>
  <si>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</si>
  <si>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</si>
  <si>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</si>
  <si>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</si>
  <si>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</si>
  <si>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</si>
  <si>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</si>
  <si>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</si>
  <si>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</si>
  <si>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</si>
  <si>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</si>
  <si>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</si>
  <si>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</si>
  <si>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</si>
  <si>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</si>
  <si>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</si>
  <si>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</si>
  <si>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</si>
  <si>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</si>
  <si>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</si>
  <si>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</si>
  <si>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</si>
  <si>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</si>
  <si>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</si>
  <si>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</si>
  <si>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</si>
  <si>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</si>
  <si>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</si>
  <si>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</si>
  <si>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</si>
  <si>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</si>
  <si>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</si>
  <si>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</si>
  <si>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</si>
  <si>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</si>
  <si>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</si>
  <si>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</si>
  <si>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</si>
  <si>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</si>
  <si>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</si>
  <si>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</si>
  <si>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</si>
  <si>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</si>
  <si>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</si>
  <si>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</si>
  <si>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</si>
  <si>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</si>
  <si>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</si>
  <si>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</si>
  <si>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</si>
  <si>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</si>
  <si>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</si>
  <si>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</si>
  <si>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</si>
  <si>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</si>
  <si>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</si>
  <si>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</si>
  <si>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</si>
  <si>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</si>
  <si>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</si>
  <si>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</si>
  <si>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</si>
  <si>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</si>
  <si>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</si>
  <si>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</si>
  <si>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</si>
  <si>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</si>
  <si>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</si>
  <si>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</si>
  <si>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</si>
  <si>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</si>
  <si>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</si>
  <si>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</si>
  <si>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</si>
  <si>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</si>
  <si>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</si>
  <si>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</si>
  <si>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</si>
  <si>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</si>
  <si>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</si>
  <si>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</si>
  <si>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</si>
  <si>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</si>
  <si>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</si>
  <si>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</si>
  <si>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</si>
  <si>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</si>
  <si>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</si>
  <si>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</si>
  <si>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</si>
  <si>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</si>
  <si>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</si>
  <si>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</si>
  <si>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</si>
  <si>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</si>
  <si>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</si>
  <si>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</si>
  <si>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</si>
  <si>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</si>
  <si>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</si>
  <si>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</si>
  <si>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</si>
  <si>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</si>
  <si>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</si>
  <si>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</si>
  <si>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</si>
  <si>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</si>
  <si>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</si>
  <si>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</si>
  <si>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</si>
  <si>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</si>
  <si>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</si>
  <si>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</si>
  <si>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</si>
  <si>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</si>
  <si>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</si>
  <si>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</si>
  <si>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</si>
  <si>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</si>
  <si>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</si>
  <si>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</si>
  <si>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</si>
  <si>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</si>
  <si>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</si>
  <si>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</si>
  <si>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</si>
  <si>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</si>
  <si>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</si>
  <si>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</si>
  <si>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</si>
  <si>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</si>
  <si>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</si>
  <si>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</si>
  <si>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</si>
  <si>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</si>
  <si>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</si>
  <si>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</si>
  <si>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</si>
  <si>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</si>
  <si>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</si>
  <si>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</si>
  <si>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</si>
  <si>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</si>
  <si>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</si>
  <si>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</si>
  <si>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</si>
  <si>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</si>
  <si>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</si>
  <si>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</si>
  <si>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</si>
  <si>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</si>
  <si>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</si>
  <si>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</si>
  <si>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</si>
  <si>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</si>
  <si>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</si>
  <si>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</si>
  <si>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</si>
  <si>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</si>
  <si>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</si>
  <si>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</si>
  <si>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</si>
  <si>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</si>
  <si>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</si>
  <si>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</si>
  <si>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</si>
  <si>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</si>
  <si>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</si>
  <si>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</si>
  <si>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</si>
  <si>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</si>
  <si>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</si>
  <si>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</si>
  <si>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</si>
  <si>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</si>
  <si>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</si>
  <si>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</si>
  <si>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</si>
  <si>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</si>
  <si>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</si>
  <si>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</si>
  <si>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</si>
  <si>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</si>
  <si>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</si>
  <si>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</si>
  <si>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</si>
  <si>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</si>
  <si>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</si>
  <si>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</si>
  <si>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</si>
  <si>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</si>
  <si>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</si>
  <si>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</si>
  <si>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</si>
  <si>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</si>
  <si>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</si>
  <si>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</si>
  <si>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</si>
  <si>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</si>
  <si>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</si>
  <si>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</si>
  <si>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</si>
  <si>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</si>
  <si>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</si>
  <si>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</si>
  <si>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</si>
  <si>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</si>
  <si>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</si>
  <si>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</si>
  <si>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</si>
  <si>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</si>
  <si>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</si>
  <si>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</si>
  <si>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</si>
  <si>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</si>
  <si>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</si>
  <si>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</si>
  <si>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</si>
  <si>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</si>
  <si>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</si>
  <si>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</si>
  <si>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</si>
  <si>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</si>
  <si>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</si>
  <si>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</si>
  <si>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</si>
  <si>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</si>
  <si>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</si>
  <si>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</si>
  <si>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</si>
  <si>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</si>
  <si>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</si>
  <si>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</si>
  <si>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</si>
  <si>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</si>
  <si>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</si>
  <si>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</si>
  <si>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</si>
  <si>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</si>
  <si>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</si>
  <si>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</si>
  <si>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</si>
  <si>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</si>
  <si>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</si>
  <si>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</si>
  <si>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</si>
  <si>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</si>
  <si>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</si>
  <si>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</si>
  <si>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</si>
  <si>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</si>
  <si>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</si>
  <si>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</si>
  <si>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</si>
  <si>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</si>
  <si>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</si>
  <si>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</si>
  <si>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</si>
  <si>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</si>
  <si>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</si>
  <si>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</si>
  <si>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</si>
  <si>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</si>
  <si>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</si>
  <si>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</si>
  <si>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</si>
  <si>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</si>
  <si>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</si>
  <si>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</si>
  <si>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</si>
  <si>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</si>
  <si>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</si>
  <si>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</si>
  <si>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</si>
  <si>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</si>
  <si>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</si>
  <si>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</si>
  <si>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</si>
  <si>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</si>
  <si>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</si>
  <si>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</si>
  <si>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</si>
  <si>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</si>
  <si>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</si>
  <si>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</si>
  <si>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</si>
  <si>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</si>
  <si>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</si>
  <si>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</si>
  <si>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</si>
  <si>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</si>
  <si>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</si>
  <si>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</si>
  <si>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</si>
  <si>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</si>
  <si>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</si>
  <si>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</si>
  <si>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</si>
  <si>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</si>
  <si>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</si>
  <si>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</si>
  <si>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</si>
  <si>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</si>
  <si>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</si>
  <si>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</si>
  <si>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</si>
  <si>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</si>
  <si>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</si>
  <si>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</si>
  <si>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</si>
  <si>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</si>
  <si>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</si>
  <si>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</si>
  <si>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</si>
  <si>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</si>
  <si>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</si>
  <si>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</si>
  <si>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</si>
  <si>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</si>
  <si>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</si>
  <si>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</si>
  <si>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</si>
  <si>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</si>
  <si>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</si>
  <si>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</si>
  <si>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</si>
  <si>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</si>
  <si>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</si>
  <si>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</si>
  <si>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</si>
  <si>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</si>
  <si>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</si>
  <si>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</si>
  <si>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</si>
  <si>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</si>
  <si>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</si>
  <si>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</si>
  <si>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</si>
  <si>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</si>
  <si>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</si>
  <si>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</si>
  <si>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</si>
  <si>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</si>
  <si>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</si>
  <si>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</si>
  <si>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</si>
  <si>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</si>
  <si>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</si>
  <si>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</si>
  <si>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</si>
  <si>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</si>
  <si>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</si>
  <si>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</si>
  <si>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</si>
  <si>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</si>
  <si>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</si>
  <si>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</si>
  <si>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</si>
  <si>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</si>
  <si>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</si>
  <si>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</si>
  <si>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</si>
  <si>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</si>
  <si>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</si>
  <si>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</si>
  <si>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</si>
  <si>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</si>
  <si>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</si>
  <si>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</si>
  <si>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</si>
  <si>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</si>
  <si>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</si>
  <si>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</si>
  <si>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</si>
  <si>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</si>
  <si>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</si>
  <si>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</si>
  <si>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</si>
  <si>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</si>
  <si>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</si>
  <si>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</si>
  <si>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</si>
  <si>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</si>
  <si>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</si>
  <si>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</si>
  <si>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</si>
  <si>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</si>
  <si>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</si>
  <si>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</si>
  <si>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</si>
  <si>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</si>
  <si>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</si>
  <si>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</si>
  <si>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</si>
  <si>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</si>
  <si>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</si>
  <si>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</si>
  <si>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</si>
  <si>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</si>
  <si>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</si>
  <si>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</si>
  <si>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</si>
  <si>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</si>
  <si>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</si>
  <si>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</si>
  <si>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</si>
  <si>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</si>
  <si>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</si>
  <si>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</si>
  <si>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</si>
  <si>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</si>
  <si>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</si>
  <si>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</si>
  <si>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</si>
  <si>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</si>
  <si>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</si>
  <si>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</si>
  <si>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</si>
  <si>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</si>
  <si>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</si>
  <si>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</si>
  <si>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</si>
  <si>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</si>
  <si>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</si>
  <si>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</si>
  <si>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</si>
  <si>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</si>
  <si>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</si>
  <si>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</si>
  <si>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</si>
  <si>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</si>
  <si>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</si>
  <si>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</si>
  <si>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</si>
  <si>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</si>
  <si>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</si>
  <si>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</si>
  <si>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</si>
  <si>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</si>
  <si>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</si>
  <si>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</si>
  <si>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</si>
  <si>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</si>
  <si>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</si>
  <si>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</si>
  <si>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</si>
  <si>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</si>
  <si>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</si>
  <si>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</si>
  <si>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</si>
  <si>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</si>
  <si>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</si>
  <si>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</si>
  <si>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</si>
  <si>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</si>
  <si>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</si>
  <si>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</si>
  <si>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</si>
  <si>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</si>
  <si>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</si>
  <si>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</si>
  <si>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</si>
  <si>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</si>
  <si>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</si>
  <si>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</si>
  <si>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</si>
  <si>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</si>
  <si>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</si>
  <si>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</si>
  <si>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</si>
  <si>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</si>
  <si>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</si>
  <si>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</si>
  <si>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</si>
  <si>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</si>
  <si>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</si>
  <si>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</si>
  <si>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</si>
  <si>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</si>
  <si>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</si>
  <si>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</si>
  <si>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</si>
  <si>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</si>
  <si>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</si>
  <si>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</si>
  <si>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</si>
  <si>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</si>
  <si>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</si>
  <si>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</si>
  <si>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</si>
  <si>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</si>
  <si>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</si>
  <si>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</si>
  <si>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</si>
  <si>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</si>
  <si>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</si>
  <si>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</si>
  <si>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</si>
  <si>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</si>
  <si>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</si>
  <si>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</si>
  <si>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</si>
  <si>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</si>
  <si>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</si>
  <si>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</si>
  <si>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</si>
  <si>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</si>
  <si>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</si>
  <si>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</si>
  <si>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</si>
  <si>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</si>
  <si>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</si>
  <si>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</si>
  <si>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</si>
  <si>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</si>
  <si>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</si>
  <si>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</si>
  <si>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</si>
  <si>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</si>
  <si>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</si>
  <si>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</si>
  <si>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</si>
  <si>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</si>
  <si>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</si>
  <si>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</si>
  <si>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</si>
  <si>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</si>
  <si>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</si>
  <si>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</si>
  <si>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</si>
  <si>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</si>
  <si>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</si>
  <si>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</si>
  <si>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</si>
  <si>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</si>
  <si>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</si>
  <si>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</si>
  <si>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</si>
  <si>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</si>
  <si>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</si>
  <si>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</si>
  <si>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</si>
  <si>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</si>
  <si>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</si>
  <si>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</si>
  <si>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</si>
  <si>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</si>
  <si>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</si>
  <si>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</si>
  <si>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</si>
  <si>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</si>
  <si>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</si>
  <si>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</si>
  <si>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</si>
  <si>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</si>
  <si>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</si>
  <si>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</si>
  <si>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</si>
  <si>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</si>
  <si>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</si>
  <si>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</si>
  <si>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</si>
  <si>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</si>
  <si>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</si>
  <si>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</si>
  <si>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</si>
  <si>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</si>
  <si>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</si>
  <si>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</si>
  <si>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</si>
  <si>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</si>
  <si>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</si>
  <si>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</si>
  <si>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</si>
  <si>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</si>
  <si>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</si>
  <si>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</si>
  <si>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</si>
  <si>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</si>
  <si>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</si>
  <si>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</si>
  <si>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</si>
  <si>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</si>
  <si>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</si>
  <si>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</si>
  <si>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</si>
  <si>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</si>
  <si>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</si>
  <si>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</si>
  <si>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</si>
  <si>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</si>
  <si>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</si>
  <si>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</si>
  <si>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</si>
  <si>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</si>
  <si>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</si>
  <si>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</si>
  <si>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</si>
  <si>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</si>
  <si>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</si>
  <si>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</si>
  <si>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</si>
  <si>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</si>
  <si>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</si>
  <si>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</si>
  <si>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</si>
  <si>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</si>
  <si>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</si>
  <si>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</si>
  <si>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</si>
  <si>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</si>
  <si>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</si>
  <si>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</si>
  <si>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</si>
  <si>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</si>
  <si>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</si>
  <si>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</si>
  <si>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</si>
  <si>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</si>
  <si>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</si>
  <si>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</si>
  <si>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</si>
  <si>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</si>
  <si>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</si>
  <si>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</si>
  <si>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</si>
  <si>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</si>
  <si>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</si>
  <si>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</si>
  <si>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</si>
  <si>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</si>
  <si>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</si>
  <si>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</si>
  <si>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</si>
  <si>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</si>
  <si>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</si>
  <si>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</si>
  <si>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</si>
  <si>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</si>
  <si>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</si>
  <si>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</si>
  <si>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</si>
  <si>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</si>
  <si>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</si>
  <si>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</si>
  <si>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</si>
  <si>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</si>
  <si>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</si>
  <si>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</si>
  <si>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</si>
  <si>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</si>
  <si>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</si>
  <si>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</si>
  <si>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</si>
  <si>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</si>
  <si>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</si>
  <si>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</si>
  <si>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</si>
  <si>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</si>
  <si>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</si>
  <si>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</si>
  <si>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</si>
  <si>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</si>
  <si>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</si>
  <si>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</si>
  <si>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</si>
  <si>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</si>
  <si>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</si>
  <si>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</si>
  <si>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</si>
  <si>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</si>
  <si>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</si>
  <si>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</si>
  <si>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</si>
  <si>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</si>
  <si>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</si>
  <si>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</si>
  <si>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</si>
  <si>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</si>
  <si>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</si>
  <si>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</si>
  <si>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</si>
  <si>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</si>
  <si>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</si>
  <si>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</si>
  <si>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</si>
  <si>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</si>
  <si>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</si>
  <si>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</si>
  <si>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</si>
  <si>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</si>
  <si>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</si>
  <si>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</si>
  <si>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</si>
  <si>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</si>
  <si>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</si>
  <si>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</si>
  <si>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</si>
  <si>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</si>
  <si>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</si>
  <si>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</si>
  <si>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</si>
  <si>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</si>
  <si>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</si>
  <si>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</si>
  <si>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</si>
  <si>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</si>
  <si>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</si>
  <si>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</si>
  <si>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</si>
  <si>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</si>
  <si>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</si>
  <si>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</si>
  <si>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</si>
  <si>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</si>
  <si>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</si>
  <si>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</si>
  <si>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</si>
  <si>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</si>
  <si>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</si>
  <si>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</si>
  <si>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</si>
  <si>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</si>
  <si>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</si>
  <si>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</si>
  <si>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</si>
  <si>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</si>
  <si>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</si>
  <si>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</si>
  <si>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</si>
  <si>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</si>
  <si>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</si>
  <si>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</si>
  <si>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</si>
  <si>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</si>
  <si>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</si>
  <si>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</si>
  <si>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</si>
  <si>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</si>
  <si>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</si>
  <si>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</si>
  <si>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</si>
  <si>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</si>
  <si>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</si>
  <si>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</si>
  <si>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</si>
  <si>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</si>
  <si>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</si>
  <si>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</si>
  <si>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</si>
  <si>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</si>
  <si>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</si>
  <si>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</si>
  <si>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</si>
  <si>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</si>
  <si>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</si>
  <si>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</si>
  <si>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</si>
  <si>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</si>
  <si>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</si>
  <si>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</si>
  <si>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</si>
  <si>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</si>
  <si>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</si>
  <si>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</si>
  <si>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</si>
  <si>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</si>
  <si>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</si>
  <si>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</si>
  <si>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</si>
  <si>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</si>
  <si>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</si>
  <si>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</si>
  <si>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</si>
  <si>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</si>
  <si>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</si>
  <si>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</si>
  <si>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</si>
  <si>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</si>
  <si>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</si>
  <si>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</si>
  <si>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</si>
  <si>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</si>
  <si>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</si>
  <si>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</si>
  <si>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</si>
  <si>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</si>
  <si>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</si>
  <si>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</si>
  <si>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</si>
  <si>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</si>
  <si>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</si>
  <si>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</si>
  <si>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</si>
  <si>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</si>
  <si>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</si>
  <si>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</si>
  <si>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</si>
  <si>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</si>
  <si>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</si>
  <si>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</si>
  <si>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</si>
  <si>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</si>
  <si>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</si>
  <si>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</si>
  <si>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</si>
  <si>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</si>
  <si>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</si>
  <si>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</si>
  <si>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</si>
  <si>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</si>
  <si>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</si>
  <si>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</si>
  <si>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</si>
  <si>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</si>
  <si>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</si>
  <si>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</si>
  <si>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</si>
  <si>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</si>
  <si>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</si>
  <si>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</si>
  <si>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</si>
  <si>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</si>
  <si>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</si>
  <si>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</si>
  <si>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</si>
  <si>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</si>
  <si>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</si>
  <si>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</si>
  <si>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</si>
  <si>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</si>
  <si>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</si>
  <si>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</si>
  <si>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</si>
  <si>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</si>
  <si>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</si>
  <si>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</si>
  <si>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</si>
  <si>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</si>
  <si>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</si>
  <si>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</si>
  <si>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</si>
  <si>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</si>
  <si>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</si>
  <si>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</si>
  <si>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</si>
  <si>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</si>
  <si>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</si>
  <si>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</si>
  <si>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</si>
  <si>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</si>
  <si>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</si>
  <si>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</si>
  <si>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</si>
  <si>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</si>
  <si>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</si>
  <si>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</si>
  <si>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</si>
  <si>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</si>
  <si>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</si>
  <si>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</si>
  <si>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</si>
  <si>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</si>
  <si>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</si>
  <si>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</si>
  <si>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</si>
  <si>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</si>
  <si>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</si>
  <si>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</si>
  <si>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</si>
  <si>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</si>
  <si>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</si>
  <si>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</si>
  <si>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</si>
  <si>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</si>
  <si>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</si>
  <si>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</si>
  <si>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</si>
  <si>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</si>
  <si>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</si>
  <si>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</si>
  <si>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</si>
  <si>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</si>
  <si>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</si>
  <si>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</si>
  <si>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</si>
  <si>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</si>
  <si>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</si>
  <si>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</si>
  <si>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</si>
  <si>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</si>
  <si>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</si>
  <si>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</si>
  <si>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</si>
  <si>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</si>
  <si>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</si>
  <si>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</si>
  <si>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</si>
  <si>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</si>
  <si>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</si>
  <si>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</si>
  <si>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</si>
  <si>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</si>
  <si>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</si>
  <si>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</si>
  <si>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</si>
  <si>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</si>
  <si>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</si>
  <si>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</si>
  <si>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</si>
  <si>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</si>
  <si>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</si>
  <si>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</si>
  <si>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</si>
  <si>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</si>
  <si>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</si>
  <si>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</si>
  <si>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</si>
  <si>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</si>
  <si>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</si>
  <si>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</si>
  <si>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</si>
  <si>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</si>
  <si>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</si>
  <si>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</si>
  <si>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</si>
  <si>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</si>
  <si>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</si>
  <si>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</si>
  <si>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</si>
  <si>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</si>
  <si>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</si>
  <si>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</si>
  <si>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</si>
  <si>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</si>
  <si>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</si>
  <si>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</si>
  <si>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</si>
  <si>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</si>
  <si>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</si>
  <si>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</si>
  <si>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</si>
  <si>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</si>
  <si>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</si>
  <si>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</si>
  <si>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</si>
  <si>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</si>
  <si>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</si>
  <si>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</si>
  <si>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</si>
  <si>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</si>
  <si>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</si>
  <si>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</si>
  <si>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</si>
  <si>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</si>
  <si>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</si>
  <si>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</si>
  <si>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</si>
  <si>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</si>
  <si>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</si>
  <si>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</si>
  <si>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</si>
  <si>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</si>
  <si>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</si>
  <si>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</si>
  <si>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</si>
  <si>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</si>
  <si>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</si>
  <si>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</si>
  <si>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</si>
  <si>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</si>
  <si>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</si>
  <si>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</si>
  <si>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</si>
  <si>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</si>
  <si>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</si>
  <si>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</si>
  <si>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</si>
  <si>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</si>
  <si>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</si>
  <si>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</si>
  <si>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</si>
  <si>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</si>
  <si>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</si>
  <si>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</si>
  <si>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</si>
  <si>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</si>
  <si>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</si>
  <si>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</si>
  <si>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</si>
  <si>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</si>
  <si>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</si>
  <si>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</si>
  <si>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</si>
  <si>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</si>
  <si>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</si>
  <si>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</si>
  <si>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</si>
  <si>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</si>
  <si>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</si>
  <si>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</si>
  <si>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</si>
  <si>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</si>
  <si>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</si>
  <si>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</si>
  <si>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</si>
  <si>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</si>
  <si>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</si>
  <si>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</si>
  <si>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</si>
  <si>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</si>
  <si>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</si>
  <si>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</si>
  <si>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</si>
  <si>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</si>
  <si>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</si>
  <si>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</si>
  <si>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</si>
  <si>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</si>
  <si>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</si>
  <si>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</si>
  <si>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</si>
  <si>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</si>
  <si>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</si>
  <si>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</si>
  <si>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</si>
  <si>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</si>
  <si>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</si>
  <si>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</si>
  <si>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</si>
  <si>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</si>
  <si>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</si>
  <si>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</si>
  <si>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</si>
  <si>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</si>
  <si>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</si>
  <si>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</si>
  <si>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</si>
  <si>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</si>
  <si>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</si>
  <si>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</si>
  <si>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</si>
  <si>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</si>
  <si>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</si>
  <si>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</si>
  <si>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</si>
  <si>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</si>
  <si>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</si>
  <si>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</si>
  <si>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</si>
  <si>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</si>
  <si>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</si>
  <si>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</si>
  <si>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</si>
  <si>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</si>
  <si>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</si>
  <si>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</si>
  <si>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</si>
  <si>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</si>
  <si>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</si>
  <si>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</si>
  <si>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</si>
  <si>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</si>
  <si>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</si>
  <si>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</si>
  <si>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</si>
  <si>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</si>
  <si>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</si>
  <si>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</si>
  <si>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</si>
  <si>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</si>
  <si>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</si>
  <si>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</si>
  <si>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</si>
  <si>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</si>
  <si>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</si>
  <si>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</si>
  <si>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</si>
  <si>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</si>
  <si>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</si>
  <si>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</si>
  <si>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</si>
  <si>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</si>
  <si>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</si>
  <si>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</si>
  <si>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</si>
  <si>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</si>
  <si>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</si>
  <si>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</si>
  <si>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</si>
  <si>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</si>
  <si>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</si>
  <si>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</si>
  <si>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</si>
  <si>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</si>
  <si>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</si>
  <si>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</si>
  <si>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</si>
  <si>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</si>
  <si>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</si>
  <si>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</si>
  <si>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</si>
  <si>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</si>
  <si>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</si>
  <si>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</si>
  <si>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</si>
  <si>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</si>
  <si>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</si>
  <si>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</si>
  <si>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</si>
  <si>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</si>
  <si>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</si>
  <si>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</si>
  <si>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</si>
  <si>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</si>
  <si>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</si>
  <si>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</si>
  <si>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</si>
  <si>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</si>
  <si>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</si>
  <si>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</si>
  <si>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</si>
  <si>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</si>
  <si>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</si>
  <si>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</si>
  <si>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</si>
  <si>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</si>
  <si>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</si>
  <si>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</si>
  <si>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</si>
  <si>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</si>
  <si>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</si>
  <si>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</si>
  <si>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</si>
  <si>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</si>
  <si>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</si>
  <si>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</si>
  <si>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</si>
  <si>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</si>
  <si>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</si>
  <si>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</si>
  <si>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</si>
  <si>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</si>
  <si>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</si>
  <si>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</si>
  <si>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</si>
  <si>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</si>
  <si>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</si>
  <si>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</si>
  <si>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</si>
  <si>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</si>
  <si>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</si>
  <si>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</si>
  <si>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</si>
  <si>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</si>
  <si>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</si>
  <si>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</si>
  <si>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</si>
  <si>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</si>
  <si>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</si>
  <si>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</si>
  <si>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</si>
  <si>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</si>
  <si>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</si>
  <si>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</si>
  <si>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</si>
  <si>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</si>
  <si>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</si>
  <si>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</si>
  <si>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</si>
  <si>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</si>
  <si>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</si>
  <si>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</si>
  <si>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</si>
  <si>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</si>
  <si>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</si>
  <si>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</si>
  <si>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</si>
  <si>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</si>
  <si>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</si>
  <si>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</si>
  <si>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</si>
  <si>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</si>
  <si>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</si>
  <si>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</si>
  <si>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</si>
  <si>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</si>
  <si>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</si>
  <si>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</si>
  <si>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</si>
  <si>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</si>
  <si>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</si>
  <si>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</si>
  <si>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</si>
  <si>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</si>
  <si>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</si>
  <si>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</si>
  <si>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</si>
  <si>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</si>
  <si>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</si>
  <si>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</si>
  <si>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</si>
  <si>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</si>
  <si>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</si>
  <si>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</si>
  <si>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</si>
  <si>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</si>
  <si>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</si>
  <si>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</si>
  <si>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</si>
  <si>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</si>
  <si>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</si>
  <si>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</si>
  <si>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</si>
  <si>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</si>
  <si>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</si>
  <si>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</si>
  <si>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</si>
  <si>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</si>
  <si>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</si>
  <si>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</si>
  <si>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</si>
  <si>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</si>
  <si>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</si>
  <si>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</si>
  <si>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</si>
  <si>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</si>
  <si>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</si>
  <si>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</si>
  <si>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</si>
  <si>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</si>
  <si>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</si>
  <si>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</si>
  <si>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</si>
  <si>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</si>
  <si>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</si>
  <si>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</si>
  <si>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</si>
  <si>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</si>
  <si>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</si>
  <si>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</si>
  <si>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</si>
  <si>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</si>
  <si>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</si>
  <si>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</si>
  <si>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</si>
  <si>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</si>
  <si>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</si>
  <si>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</si>
  <si>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</si>
  <si>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</si>
  <si>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</si>
  <si>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</si>
  <si>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</si>
  <si>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</si>
  <si>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</si>
  <si>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</si>
  <si>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</si>
  <si>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</si>
  <si>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</si>
  <si>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</si>
  <si>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</si>
  <si>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</si>
  <si>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</si>
  <si>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</si>
  <si>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</si>
  <si>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</si>
  <si>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</si>
  <si>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</si>
  <si>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</si>
  <si>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</si>
  <si>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</si>
  <si>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</si>
  <si>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</si>
  <si>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</si>
  <si>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</si>
  <si>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</si>
  <si>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</si>
  <si>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</si>
  <si>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</si>
  <si>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</si>
  <si>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</si>
  <si>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</si>
  <si>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</si>
  <si>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</si>
  <si>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</si>
  <si>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</si>
  <si>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</si>
  <si>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</si>
  <si>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</si>
  <si>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</si>
  <si>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</si>
  <si>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</si>
  <si>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</si>
  <si>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</si>
  <si>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</si>
  <si>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</si>
  <si>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</si>
  <si>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</si>
  <si>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</si>
  <si>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</si>
  <si>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</si>
  <si>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</si>
  <si>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</si>
  <si>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</si>
  <si>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</si>
  <si>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</si>
  <si>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</si>
  <si>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</si>
  <si>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</si>
  <si>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</si>
  <si>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</si>
  <si>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</si>
  <si>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</si>
  <si>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</si>
  <si>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</si>
  <si>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</si>
  <si>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</si>
  <si>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</si>
  <si>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</si>
  <si>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</si>
  <si>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</si>
  <si>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</si>
  <si>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</si>
  <si>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</si>
  <si>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</si>
  <si>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</si>
  <si>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</si>
  <si>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</si>
  <si>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</si>
  <si>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</si>
  <si>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</si>
  <si>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</si>
  <si>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</si>
  <si>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</si>
  <si>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</si>
  <si>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</si>
  <si>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</si>
  <si>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</si>
  <si>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</si>
  <si>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</si>
  <si>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</si>
  <si>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</si>
  <si>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</si>
  <si>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</si>
  <si>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</si>
  <si>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</si>
  <si>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</si>
  <si>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</si>
  <si>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</si>
  <si>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</si>
  <si>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</si>
  <si>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</si>
  <si>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</si>
  <si>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</si>
  <si>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</si>
  <si>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</si>
  <si>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</si>
  <si>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</si>
  <si>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</si>
  <si>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</si>
  <si>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</si>
  <si>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</si>
  <si>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</si>
  <si>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</si>
  <si>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</si>
  <si>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</si>
  <si>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</si>
  <si>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</si>
  <si>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</si>
  <si>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</si>
  <si>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</si>
  <si>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</si>
  <si>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</si>
  <si>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</si>
  <si>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</si>
  <si>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</si>
  <si>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</si>
  <si>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</si>
  <si>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</si>
  <si>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</si>
  <si>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</si>
  <si>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</si>
  <si>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</si>
  <si>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</si>
  <si>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</si>
  <si>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</si>
  <si>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</si>
  <si>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</si>
  <si>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</si>
  <si>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</si>
  <si>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</si>
  <si>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</si>
  <si>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</si>
  <si>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</si>
  <si>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</si>
  <si>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</si>
  <si>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</si>
  <si>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</si>
  <si>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</si>
  <si>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</si>
  <si>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</si>
  <si>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</si>
  <si>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</si>
  <si>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</si>
  <si>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</si>
  <si>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</si>
  <si>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</si>
  <si>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</si>
  <si>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</si>
  <si>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</si>
  <si>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</si>
  <si>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</si>
  <si>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</si>
  <si>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</si>
  <si>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</si>
  <si>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</si>
  <si>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</si>
  <si>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</si>
  <si>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</si>
  <si>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</si>
  <si>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</si>
  <si>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</si>
  <si>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</si>
  <si>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</si>
  <si>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</si>
  <si>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</si>
  <si>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</si>
  <si>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</si>
  <si>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</si>
  <si>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</si>
  <si>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</si>
  <si>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</si>
  <si>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</si>
  <si>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</si>
  <si>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</si>
  <si>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</si>
  <si>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</si>
  <si>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</si>
  <si>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</si>
  <si>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</si>
  <si>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</si>
  <si>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</si>
  <si>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</si>
  <si>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</si>
  <si>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</si>
  <si>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</si>
  <si>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</si>
  <si>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</si>
  <si>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</si>
  <si>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</si>
  <si>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</si>
  <si>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</si>
  <si>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</si>
  <si>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</si>
  <si>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</si>
  <si>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</si>
  <si>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</si>
  <si>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</si>
  <si>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</si>
  <si>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</si>
  <si>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</si>
  <si>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</si>
  <si>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</si>
  <si>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</si>
  <si>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</si>
  <si>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</si>
  <si>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</si>
  <si>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</si>
  <si>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</si>
  <si>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</si>
  <si>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</si>
  <si>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</si>
  <si>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</si>
  <si>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</si>
  <si>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</si>
  <si>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</si>
  <si>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</si>
  <si>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</si>
  <si>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</si>
  <si>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</si>
  <si>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</si>
  <si>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</si>
  <si>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</si>
  <si>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</si>
  <si>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</si>
  <si>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</si>
  <si>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</si>
  <si>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</si>
  <si>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</si>
  <si>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</si>
  <si>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</si>
  <si>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</si>
  <si>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</si>
  <si>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</si>
  <si>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</si>
  <si>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</si>
  <si>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</si>
  <si>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</si>
  <si>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</si>
  <si>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</si>
  <si>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</si>
  <si>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</si>
  <si>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</si>
  <si>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</si>
  <si>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</si>
  <si>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</si>
  <si>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</si>
  <si>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</si>
  <si>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</si>
  <si>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</si>
  <si>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</si>
  <si>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</si>
  <si>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</si>
  <si>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</si>
  <si>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</si>
  <si>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</si>
  <si>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</si>
  <si>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</si>
  <si>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</si>
  <si>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</si>
  <si>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</si>
  <si>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</si>
  <si>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</si>
  <si>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</si>
  <si>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</si>
  <si>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</si>
  <si>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</si>
  <si>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</si>
  <si>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</si>
  <si>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</si>
  <si>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</si>
  <si>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</si>
  <si>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</si>
  <si>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</si>
  <si>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</si>
  <si>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</si>
  <si>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</si>
  <si>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</si>
  <si>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</si>
  <si>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</si>
  <si>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</si>
  <si>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</si>
  <si>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</si>
  <si>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</si>
  <si>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</si>
  <si>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</si>
  <si>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</si>
  <si>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</si>
  <si>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</si>
  <si>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</si>
  <si>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</si>
  <si>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</si>
  <si>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</si>
  <si>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</si>
  <si>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</si>
  <si>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</si>
  <si>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</si>
  <si>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</si>
  <si>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</si>
  <si>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</si>
  <si>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</si>
  <si>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</si>
  <si>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</si>
  <si>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</si>
  <si>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</si>
  <si>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</si>
  <si>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</si>
  <si>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</si>
  <si>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</si>
  <si>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</si>
  <si>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</si>
  <si>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</si>
  <si>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</si>
  <si>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</si>
  <si>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</si>
  <si>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</si>
  <si>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</si>
  <si>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</si>
  <si>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</si>
  <si>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</si>
  <si>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</si>
  <si>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</si>
  <si>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</si>
  <si>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</si>
  <si>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</si>
  <si>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</si>
  <si>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</si>
  <si>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</si>
  <si>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</si>
  <si>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</si>
  <si>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</si>
  <si>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</si>
  <si>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</si>
  <si>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</si>
  <si>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</si>
  <si>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</si>
  <si>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</si>
  <si>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</si>
  <si>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</si>
  <si>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</si>
  <si>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</si>
  <si>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</si>
  <si>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</si>
  <si>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</si>
  <si>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</si>
  <si>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</si>
  <si>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</si>
  <si>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</si>
  <si>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</si>
  <si>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</si>
  <si>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</si>
  <si>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</si>
  <si>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</si>
  <si>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</si>
  <si>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</si>
  <si>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</si>
  <si>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</si>
  <si>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</si>
  <si>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</si>
  <si>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</si>
  <si>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</si>
  <si>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</si>
  <si>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</si>
  <si>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</si>
  <si>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</si>
  <si>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</si>
  <si>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</si>
  <si>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</si>
  <si>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</si>
  <si>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</si>
  <si>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</si>
  <si>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</si>
  <si>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</si>
  <si>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</si>
  <si>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</si>
  <si>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</si>
  <si>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</si>
  <si>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</si>
  <si>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</si>
  <si>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</si>
  <si>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</si>
  <si>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</si>
  <si>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</si>
  <si>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</si>
  <si>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</si>
  <si>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</si>
  <si>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</si>
  <si>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</si>
  <si>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</si>
  <si>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</si>
  <si>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</si>
  <si>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</si>
  <si>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</si>
  <si>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</si>
  <si>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</si>
  <si>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</si>
  <si>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</si>
  <si>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</si>
  <si>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</si>
  <si>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</si>
  <si>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</si>
  <si>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</si>
  <si>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</si>
  <si>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</si>
  <si>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</si>
  <si>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</si>
  <si>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</si>
  <si>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</si>
  <si>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</si>
  <si>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</si>
  <si>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</si>
  <si>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</si>
  <si>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</si>
  <si>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</si>
  <si>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</si>
  <si>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</si>
  <si>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</si>
  <si>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</si>
  <si>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</si>
  <si>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</si>
  <si>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</si>
  <si>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</si>
  <si>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</si>
  <si>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</si>
  <si>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</si>
  <si>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</si>
  <si>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</si>
  <si>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</si>
  <si>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</si>
  <si>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</si>
  <si>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</si>
  <si>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</si>
  <si>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</si>
  <si>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</si>
  <si>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</si>
  <si>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</si>
  <si>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</si>
  <si>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</si>
  <si>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</si>
  <si>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</si>
  <si>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</si>
  <si>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</si>
  <si>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</si>
  <si>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</si>
  <si>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</si>
  <si>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</si>
  <si>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</si>
  <si>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</si>
  <si>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</si>
  <si>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</si>
  <si>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</si>
  <si>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</si>
  <si>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</si>
  <si>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</si>
  <si>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</si>
  <si>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</si>
  <si>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</si>
  <si>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</si>
  <si>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</si>
  <si>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</si>
  <si>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</si>
  <si>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</si>
  <si>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</si>
  <si>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</si>
  <si>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</si>
  <si>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</si>
  <si>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</si>
  <si>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</si>
  <si>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</si>
  <si>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</si>
  <si>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</si>
  <si>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</si>
  <si>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</si>
  <si>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</si>
  <si>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</si>
  <si>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</si>
  <si>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</si>
  <si>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</si>
  <si>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</si>
  <si>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</si>
  <si>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</si>
  <si>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</si>
  <si>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</si>
  <si>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</si>
  <si>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</si>
  <si>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</si>
  <si>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</si>
  <si>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</si>
  <si>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</si>
  <si>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</si>
  <si>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</si>
  <si>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</si>
  <si>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</si>
  <si>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</si>
  <si>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</si>
  <si>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</si>
  <si>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</si>
  <si>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</si>
  <si>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</si>
  <si>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</si>
  <si>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</si>
  <si>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</si>
  <si>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</si>
  <si>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</si>
  <si>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</si>
  <si>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</si>
  <si>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</si>
  <si>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</si>
  <si>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</si>
  <si>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</si>
  <si>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</si>
  <si>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</si>
  <si>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</si>
  <si>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</si>
  <si>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</si>
  <si>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</si>
  <si>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</si>
  <si>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</si>
  <si>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</si>
  <si>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</si>
  <si>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</si>
  <si>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</si>
  <si>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</si>
  <si>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</si>
  <si>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</si>
  <si>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</si>
  <si>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</si>
  <si>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</si>
  <si>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</si>
  <si>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</si>
  <si>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</si>
  <si>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</si>
  <si>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</si>
  <si>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</si>
  <si>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</si>
  <si>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</si>
  <si>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</si>
  <si>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</si>
  <si>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</si>
  <si>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</si>
  <si>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</si>
  <si>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</si>
  <si>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</si>
  <si>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</si>
  <si>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</si>
  <si>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</si>
  <si>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</si>
  <si>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</si>
  <si>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</si>
  <si>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</si>
  <si>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</si>
  <si>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</si>
  <si>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</si>
  <si>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</si>
  <si>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</si>
  <si>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</si>
  <si>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</si>
  <si>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</si>
  <si>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</si>
  <si>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</si>
  <si>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</si>
  <si>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</si>
  <si>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</si>
  <si>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</si>
  <si>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</si>
  <si>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</si>
  <si>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</si>
  <si>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</si>
  <si>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</si>
  <si>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</si>
  <si>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</si>
  <si>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</si>
  <si>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</si>
  <si>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</si>
  <si>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</si>
  <si>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</si>
  <si>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</si>
  <si>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</si>
  <si>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</si>
  <si>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</si>
  <si>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</si>
  <si>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</si>
  <si>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</si>
  <si>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</si>
  <si>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</si>
  <si>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</si>
  <si>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</si>
  <si>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</si>
  <si>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</si>
  <si>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</si>
  <si>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</si>
  <si>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</si>
  <si>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</si>
  <si>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</si>
  <si>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</si>
  <si>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</si>
  <si>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</si>
  <si>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</si>
  <si>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</si>
  <si>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</si>
  <si>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</si>
  <si>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</si>
  <si>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</si>
  <si>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</si>
  <si>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</si>
  <si>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</si>
  <si>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</si>
  <si>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</si>
  <si>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</si>
  <si>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</si>
  <si>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</si>
  <si>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</si>
  <si>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</si>
  <si>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</si>
  <si>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</si>
  <si>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</si>
  <si>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</si>
  <si>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</si>
  <si>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</si>
  <si>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</si>
  <si>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</si>
  <si>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</si>
  <si>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</si>
  <si>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</si>
  <si>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</si>
  <si>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</si>
  <si>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</si>
  <si>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</si>
  <si>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</si>
  <si>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</si>
  <si>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</si>
  <si>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</si>
  <si>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</si>
  <si>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</si>
  <si>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</si>
  <si>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</si>
  <si>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</si>
  <si>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</si>
  <si>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</si>
  <si>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</si>
  <si>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</si>
  <si>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</si>
  <si>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</si>
  <si>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</si>
  <si>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</si>
  <si>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</si>
  <si>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</si>
  <si>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</si>
  <si>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</si>
  <si>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</si>
  <si>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</si>
  <si>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</si>
  <si>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</si>
  <si>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</si>
  <si>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</si>
  <si>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</si>
  <si>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</si>
  <si>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</si>
  <si>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</si>
  <si>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</si>
  <si>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</si>
  <si>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</si>
  <si>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</si>
  <si>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</si>
  <si>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</si>
  <si>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</si>
  <si>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</si>
  <si>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</si>
  <si>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</si>
  <si>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</si>
  <si>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</si>
  <si>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</si>
  <si>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</si>
  <si>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</si>
  <si>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</si>
  <si>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</si>
  <si>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</si>
  <si>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</si>
  <si>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</si>
  <si>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</si>
  <si>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</si>
  <si>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</si>
  <si>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</si>
  <si>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</si>
  <si>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</si>
  <si>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</si>
  <si>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</si>
  <si>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</si>
  <si>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</si>
  <si>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</si>
  <si>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</si>
  <si>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</si>
  <si>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</si>
  <si>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</si>
  <si>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</si>
  <si>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</si>
  <si>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</si>
  <si>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</si>
  <si>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</si>
  <si>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</si>
  <si>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</si>
  <si>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</si>
  <si>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</si>
  <si>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</si>
  <si>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</si>
  <si>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</si>
  <si>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</si>
  <si>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</si>
  <si>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</si>
  <si>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</si>
  <si>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</si>
  <si>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</si>
  <si>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</si>
  <si>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</si>
  <si>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</si>
  <si>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</si>
  <si>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</si>
  <si>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</si>
  <si>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</si>
  <si>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</si>
  <si>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</si>
  <si>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</si>
  <si>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</si>
  <si>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</si>
  <si>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</si>
  <si>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</si>
  <si>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</si>
  <si>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</si>
  <si>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</si>
  <si>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</si>
  <si>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</si>
  <si>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</si>
  <si>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</si>
  <si>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</si>
  <si>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</si>
  <si>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</si>
  <si>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</si>
  <si>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</si>
  <si>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</si>
  <si>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</si>
  <si>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</si>
  <si>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</si>
  <si>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</si>
  <si>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</si>
  <si>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</si>
  <si>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</si>
  <si>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</si>
  <si>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</si>
  <si>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</si>
  <si>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</si>
  <si>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</si>
  <si>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</si>
  <si>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</si>
  <si>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</si>
  <si>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</si>
  <si>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</si>
  <si>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</si>
  <si>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</si>
  <si>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</si>
  <si>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</si>
  <si>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</si>
  <si>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</si>
  <si>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</si>
  <si>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</si>
  <si>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</si>
  <si>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</si>
  <si>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</si>
  <si>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</si>
  <si>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</si>
  <si>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</si>
  <si>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</si>
  <si>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</si>
  <si>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</si>
  <si>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</si>
  <si>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</si>
  <si>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</si>
  <si>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</si>
  <si>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</si>
  <si>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</si>
  <si>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</si>
  <si>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</si>
  <si>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</si>
  <si>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</si>
  <si>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</si>
  <si>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</si>
  <si>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</si>
  <si>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</si>
  <si>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</si>
  <si>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</si>
  <si>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</si>
  <si>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</si>
  <si>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</si>
  <si>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</si>
  <si>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</si>
  <si>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</si>
  <si>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</si>
  <si>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</si>
  <si>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</si>
  <si>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</si>
  <si>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</si>
  <si>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</si>
  <si>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</si>
  <si>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</si>
  <si>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</si>
  <si>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</si>
  <si>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</si>
  <si>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</si>
  <si>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</si>
  <si>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</si>
  <si>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</si>
  <si>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</si>
  <si>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</si>
  <si>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</si>
  <si>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</si>
  <si>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</si>
  <si>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</si>
  <si>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</si>
  <si>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</si>
  <si>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</si>
  <si>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</si>
  <si>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</si>
  <si>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</si>
  <si>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</si>
  <si>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</si>
  <si>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</si>
  <si>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</si>
  <si>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</si>
  <si>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</si>
  <si>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</si>
  <si>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</si>
  <si>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</si>
  <si>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</si>
  <si>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</si>
  <si>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</si>
  <si>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</si>
  <si>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</si>
  <si>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</si>
  <si>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</si>
  <si>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</si>
  <si>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</si>
  <si>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</si>
  <si>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</si>
  <si>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</si>
  <si>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</si>
  <si>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</si>
  <si>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</si>
  <si>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</si>
  <si>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</si>
  <si>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</si>
  <si>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</si>
  <si>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</si>
  <si>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</si>
  <si>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</si>
  <si>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</si>
  <si>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</si>
  <si>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</si>
  <si>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</si>
  <si>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</si>
  <si>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</si>
  <si>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</si>
  <si>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</si>
  <si>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</si>
  <si>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</si>
  <si>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</si>
  <si>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</si>
  <si>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</si>
  <si>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</si>
  <si>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</si>
  <si>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</si>
  <si>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</si>
  <si>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</si>
  <si>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</si>
  <si>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</si>
  <si>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</si>
  <si>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</si>
  <si>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</si>
  <si>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</si>
  <si>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</si>
  <si>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</si>
  <si>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</si>
  <si>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</si>
  <si>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</si>
  <si>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</si>
  <si>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</si>
  <si>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</si>
  <si>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</si>
  <si>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</si>
  <si>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</si>
  <si>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</si>
  <si>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</si>
  <si>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</si>
  <si>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</si>
  <si>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</si>
  <si>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</si>
  <si>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</si>
  <si>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</si>
  <si>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</si>
  <si>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</si>
  <si>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</si>
  <si>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</si>
  <si>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</si>
  <si>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</si>
  <si>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</si>
  <si>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</si>
  <si>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</si>
  <si>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</si>
  <si>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</si>
  <si>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</si>
  <si>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</si>
  <si>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</si>
  <si>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</si>
  <si>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</si>
  <si>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</si>
  <si>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</si>
  <si>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</si>
  <si>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</si>
  <si>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</si>
  <si>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</si>
  <si>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</si>
  <si>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</si>
  <si>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</si>
  <si>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</si>
  <si>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</si>
  <si>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</si>
  <si>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</si>
  <si>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</si>
  <si>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</si>
  <si>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</si>
  <si>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</si>
  <si>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</si>
  <si>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</si>
  <si>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</si>
  <si>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</si>
  <si>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</si>
  <si>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</si>
  <si>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</si>
  <si>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</si>
  <si>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</si>
  <si>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</si>
  <si>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</si>
  <si>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</si>
  <si>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</si>
  <si>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</si>
  <si>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</si>
  <si>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</si>
  <si>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</si>
  <si>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</si>
  <si>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</si>
  <si>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</si>
  <si>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</si>
  <si>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</si>
  <si>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</si>
  <si>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</si>
  <si>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</si>
  <si>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</si>
  <si>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</si>
  <si>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</si>
  <si>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</si>
  <si>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</si>
  <si>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</si>
  <si>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</si>
  <si>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</si>
  <si>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</si>
  <si>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</si>
  <si>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</si>
  <si>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</si>
  <si>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</si>
  <si>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</si>
  <si>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</si>
  <si>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</si>
  <si>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</si>
  <si>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</si>
  <si>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</si>
  <si>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</si>
  <si>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</si>
  <si>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</si>
  <si>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</si>
  <si>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</si>
  <si>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</si>
  <si>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</si>
  <si>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</si>
  <si>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</si>
  <si>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</si>
  <si>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</si>
  <si>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</si>
  <si>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</si>
  <si>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</si>
  <si>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</si>
  <si>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</si>
  <si>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</si>
  <si>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</si>
  <si>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</si>
  <si>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</si>
  <si>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</si>
  <si>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</si>
  <si>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</si>
  <si>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</si>
  <si>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</si>
  <si>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</si>
  <si>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</si>
  <si>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</si>
  <si>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</si>
  <si>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</si>
  <si>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</si>
  <si>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</si>
  <si>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</si>
  <si>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</si>
  <si>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</si>
  <si>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</si>
  <si>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</si>
  <si>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</si>
  <si>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</si>
  <si>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</si>
  <si>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</si>
  <si>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</si>
  <si>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</si>
  <si>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</si>
  <si>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</si>
  <si>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</si>
  <si>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</si>
  <si>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</si>
  <si>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</si>
  <si>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</si>
  <si>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</si>
  <si>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</si>
  <si>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</si>
  <si>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</si>
  <si>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</si>
  <si>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</si>
  <si>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</si>
  <si>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</si>
  <si>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</si>
  <si>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</si>
  <si>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</si>
  <si>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</si>
  <si>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</si>
  <si>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</si>
  <si>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</si>
  <si>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</si>
  <si>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</si>
  <si>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</si>
  <si>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</si>
  <si>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</si>
  <si>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</si>
  <si>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</si>
  <si>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</si>
  <si>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</si>
  <si>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</si>
  <si>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</si>
  <si>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</si>
  <si>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</si>
  <si>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</si>
  <si>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</si>
  <si>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</si>
  <si>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</si>
  <si>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</si>
  <si>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</si>
  <si>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</si>
  <si>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</si>
  <si>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</si>
  <si>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</si>
  <si>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</si>
  <si>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</si>
  <si>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</si>
  <si>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</si>
  <si>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</si>
  <si>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</si>
  <si>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</si>
  <si>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</si>
  <si>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</si>
  <si>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</si>
  <si>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</si>
  <si>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</si>
  <si>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</si>
  <si>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</si>
  <si>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</si>
  <si>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</si>
  <si>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</si>
  <si>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</si>
  <si>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</si>
  <si>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</si>
  <si>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</si>
  <si>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</si>
  <si>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</si>
  <si>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</si>
  <si>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</si>
  <si>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</si>
  <si>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</si>
  <si>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</si>
  <si>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</si>
  <si>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</si>
  <si>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</si>
  <si>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</si>
  <si>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</si>
  <si>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</si>
  <si>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</si>
  <si>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</si>
  <si>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</si>
  <si>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</si>
  <si>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</si>
  <si>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</si>
  <si>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</si>
  <si>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</si>
  <si>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</si>
  <si>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</si>
  <si>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</si>
  <si>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</si>
  <si>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</si>
  <si>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</si>
  <si>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</si>
  <si>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</si>
  <si>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</si>
  <si>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</si>
  <si>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</si>
  <si>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</si>
  <si>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</si>
  <si>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</si>
  <si>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</si>
  <si>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</si>
  <si>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</si>
  <si>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</si>
  <si>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</si>
  <si>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</si>
  <si>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</si>
  <si>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</si>
  <si>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</si>
  <si>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</si>
  <si>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</si>
  <si>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</si>
  <si>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</si>
  <si>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</si>
  <si>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</si>
  <si>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</si>
  <si>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</si>
  <si>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</si>
  <si>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</si>
  <si>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</si>
  <si>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</si>
  <si>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</si>
  <si>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</si>
  <si>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</si>
  <si>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</si>
  <si>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</si>
  <si>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</si>
  <si>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</si>
  <si>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</si>
  <si>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</si>
  <si>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</si>
  <si>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</si>
  <si>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</si>
  <si>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</si>
  <si>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</si>
  <si>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</si>
  <si>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</si>
  <si>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</si>
  <si>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</si>
  <si>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</si>
  <si>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</si>
  <si>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</si>
  <si>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</si>
  <si>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</si>
  <si>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</si>
  <si>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</si>
  <si>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</si>
  <si>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</si>
  <si>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</si>
  <si>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</si>
  <si>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</si>
  <si>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</si>
  <si>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</si>
  <si>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</si>
  <si>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</si>
  <si>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</si>
  <si>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</si>
  <si>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</si>
  <si>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</si>
  <si>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</si>
  <si>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</si>
  <si>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</si>
  <si>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</si>
  <si>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</si>
  <si>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</si>
  <si>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</si>
  <si>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</si>
  <si>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</si>
  <si>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</si>
  <si>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</si>
  <si>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</si>
  <si>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</si>
  <si>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</si>
  <si>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</si>
  <si>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</si>
  <si>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</si>
  <si>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</si>
  <si>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</si>
  <si>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</si>
  <si>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</si>
  <si>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</si>
  <si>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</si>
  <si>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</si>
  <si>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</si>
  <si>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</si>
  <si>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</si>
  <si>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</si>
  <si>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</si>
  <si>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</si>
  <si>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</si>
  <si>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</si>
  <si>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</si>
  <si>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</si>
  <si>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</si>
  <si>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</si>
  <si>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</si>
  <si>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</si>
  <si>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</si>
  <si>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</si>
  <si>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</si>
  <si>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</si>
  <si>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</si>
  <si>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</si>
  <si>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</si>
  <si>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</si>
  <si>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</si>
  <si>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</si>
  <si>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</si>
  <si>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</si>
  <si>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</si>
  <si>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</si>
  <si>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</si>
  <si>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</si>
  <si>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</si>
  <si>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</si>
  <si>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</si>
  <si>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</si>
  <si>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</si>
  <si>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</si>
  <si>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</si>
  <si>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</si>
  <si>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</si>
  <si>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</si>
  <si>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</si>
  <si>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</si>
  <si>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</si>
  <si>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</si>
  <si>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</si>
  <si>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</si>
  <si>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</si>
  <si>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</si>
  <si>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</si>
  <si>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</si>
  <si>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</si>
  <si>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</si>
  <si>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</si>
  <si>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</si>
  <si>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</si>
  <si>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</si>
  <si>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</si>
  <si>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</si>
  <si>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</si>
  <si>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</si>
  <si>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</si>
  <si>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</si>
  <si>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</si>
  <si>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</si>
  <si>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</si>
  <si>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</si>
  <si>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</si>
  <si>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</si>
  <si>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</si>
  <si>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</si>
  <si>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</si>
  <si>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</si>
  <si>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</si>
  <si>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</si>
  <si>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</si>
  <si>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</si>
  <si>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</si>
  <si>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</si>
  <si>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</si>
  <si>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</si>
  <si>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</si>
  <si>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</si>
  <si>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</si>
  <si>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</si>
  <si>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</si>
  <si>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</si>
  <si>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</si>
  <si>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</si>
  <si>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</si>
  <si>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</si>
  <si>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</si>
  <si>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</si>
  <si>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</si>
  <si>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</si>
  <si>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</si>
  <si>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</si>
  <si>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</si>
  <si>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</si>
  <si>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</si>
  <si>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</si>
  <si>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</si>
  <si>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</si>
  <si>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</si>
  <si>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</si>
  <si>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</si>
  <si>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</si>
  <si>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</si>
  <si>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</si>
  <si>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</si>
  <si>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</si>
  <si>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</si>
  <si>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</si>
  <si>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</si>
  <si>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</si>
  <si>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</si>
  <si>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</si>
  <si>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</si>
  <si>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</si>
  <si>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</si>
  <si>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</si>
  <si>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</si>
  <si>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</si>
  <si>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</si>
  <si>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</si>
  <si>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</si>
  <si>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</si>
  <si>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</si>
  <si>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</si>
  <si>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</si>
  <si>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</si>
  <si>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</si>
  <si>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</si>
  <si>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</si>
  <si>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</si>
  <si>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</si>
  <si>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</si>
  <si>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</si>
  <si>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</si>
  <si>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</si>
  <si>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</si>
  <si>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</si>
  <si>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</si>
  <si>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</si>
  <si>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</si>
  <si>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</si>
  <si>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</si>
  <si>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</si>
  <si>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</si>
  <si>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</si>
  <si>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</si>
  <si>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</si>
  <si>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</si>
  <si>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</si>
  <si>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</si>
  <si>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</si>
  <si>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</si>
  <si>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</si>
  <si>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</si>
  <si>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</si>
  <si>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</si>
  <si>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</si>
  <si>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</si>
  <si>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</si>
  <si>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</si>
  <si>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</si>
  <si>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</si>
  <si>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</si>
  <si>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</si>
  <si>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</si>
  <si>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</si>
  <si>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</si>
  <si>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</si>
  <si>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</si>
  <si>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</si>
  <si>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</si>
  <si>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</si>
  <si>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</si>
  <si>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</si>
  <si>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</si>
  <si>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</si>
  <si>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</si>
  <si>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</si>
  <si>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</si>
  <si>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</si>
  <si>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</si>
  <si>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</si>
  <si>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</si>
  <si>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</si>
  <si>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</si>
  <si>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</si>
  <si>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</si>
  <si>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</si>
  <si>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</si>
  <si>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</si>
  <si>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</si>
  <si>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</si>
  <si>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</si>
  <si>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</si>
  <si>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</si>
  <si>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</si>
  <si>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</si>
  <si>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</si>
  <si>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</si>
  <si>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</si>
  <si>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</si>
  <si>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</si>
  <si>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</si>
  <si>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</si>
  <si>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</si>
  <si>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</si>
  <si>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</si>
  <si>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</si>
  <si>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</si>
  <si>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</si>
  <si>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</si>
  <si>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</si>
  <si>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</si>
  <si>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</si>
  <si>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</si>
  <si>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</si>
  <si>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</si>
  <si>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</si>
  <si>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</si>
  <si>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</si>
  <si>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</si>
  <si>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</si>
  <si>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</si>
  <si>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</si>
  <si>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</si>
  <si>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</si>
  <si>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</si>
  <si>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</si>
  <si>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</si>
  <si>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</si>
  <si>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</si>
  <si>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</si>
  <si>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</si>
  <si>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</si>
  <si>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</si>
  <si>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</si>
  <si>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</si>
  <si>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</si>
  <si>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</si>
  <si>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</si>
  <si>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</si>
  <si>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</si>
  <si>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</si>
  <si>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</si>
  <si>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</si>
  <si>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</si>
  <si>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</si>
  <si>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</si>
  <si>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</si>
  <si>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</si>
  <si>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</si>
  <si>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</si>
  <si>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</si>
  <si>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</si>
  <si>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</si>
  <si>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</si>
  <si>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</si>
  <si>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</si>
  <si>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</si>
  <si>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</si>
  <si>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</si>
  <si>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</si>
  <si>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</si>
  <si>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</si>
  <si>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</si>
  <si>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</si>
  <si>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</si>
  <si>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</si>
  <si>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</si>
  <si>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</si>
  <si>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</si>
  <si>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</si>
  <si>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</si>
  <si>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</si>
  <si>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</si>
  <si>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</si>
  <si>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</si>
  <si>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</si>
  <si>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</si>
  <si>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</si>
  <si>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</si>
  <si>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</si>
  <si>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</si>
  <si>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</si>
  <si>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</si>
  <si>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</si>
  <si>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</si>
  <si>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</si>
  <si>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</si>
  <si>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</si>
  <si>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</si>
  <si>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</si>
  <si>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</si>
  <si>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</si>
  <si>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</si>
  <si>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</si>
  <si>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</si>
  <si>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</si>
  <si>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</si>
  <si>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</si>
  <si>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</si>
  <si>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</si>
  <si>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</si>
  <si>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</si>
  <si>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</si>
  <si>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</si>
  <si>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</si>
  <si>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</si>
  <si>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</si>
  <si>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</si>
  <si>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</si>
  <si>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</si>
  <si>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</si>
  <si>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</si>
  <si>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</si>
  <si>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</si>
  <si>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</si>
  <si>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</si>
  <si>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</si>
  <si>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</si>
  <si>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</si>
  <si>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</si>
  <si>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</si>
  <si>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</si>
  <si>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</si>
  <si>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</si>
  <si>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</si>
  <si>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</si>
  <si>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</si>
  <si>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</si>
  <si>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</si>
  <si>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</si>
  <si>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</si>
  <si>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</si>
  <si>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</si>
  <si>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</si>
  <si>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</si>
  <si>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</si>
  <si>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</si>
  <si>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</si>
  <si>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</si>
  <si>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</si>
  <si>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</si>
  <si>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</si>
  <si>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</si>
  <si>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</si>
  <si>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</si>
  <si>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</si>
  <si>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</si>
  <si>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</si>
  <si>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</si>
  <si>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</si>
  <si>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</si>
  <si>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</si>
  <si>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</si>
  <si>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</si>
  <si>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</si>
  <si>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</si>
  <si>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</si>
  <si>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</si>
  <si>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</si>
  <si>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</si>
  <si>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</si>
  <si>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</si>
  <si>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</si>
  <si>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</si>
  <si>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</si>
  <si>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</si>
  <si>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</si>
  <si>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</si>
  <si>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</si>
  <si>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</si>
  <si>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</si>
  <si>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</si>
  <si>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</si>
  <si>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</si>
  <si>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</si>
  <si>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</si>
  <si>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</si>
  <si>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</si>
  <si>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</si>
  <si>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</si>
  <si>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</si>
  <si>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</si>
  <si>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</si>
  <si>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</si>
  <si>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</si>
  <si>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</si>
  <si>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</si>
  <si>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</si>
  <si>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</si>
  <si>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</si>
  <si>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</si>
  <si>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</si>
  <si>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</si>
  <si>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</si>
  <si>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</si>
  <si>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</si>
  <si>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</si>
  <si>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</si>
  <si>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</si>
  <si>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</si>
  <si>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</si>
  <si>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</si>
  <si>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</si>
  <si>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</si>
  <si>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</si>
  <si>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</si>
  <si>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</si>
  <si>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</si>
  <si>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</si>
  <si>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</si>
  <si>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</si>
  <si>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</si>
  <si>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</si>
  <si>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</si>
  <si>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</si>
  <si>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</si>
  <si>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</si>
  <si>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</si>
  <si>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</si>
  <si>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</si>
  <si>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</si>
  <si>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</si>
  <si>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</si>
  <si>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</si>
  <si>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</si>
  <si>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</si>
  <si>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</si>
  <si>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</si>
  <si>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</si>
  <si>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</si>
  <si>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</si>
  <si>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</si>
  <si>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</si>
  <si>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</si>
  <si>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</si>
  <si>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</si>
  <si>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</si>
  <si>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</si>
  <si>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</si>
  <si>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</si>
  <si>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</si>
  <si>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</si>
  <si>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</si>
  <si>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</si>
  <si>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</si>
  <si>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</si>
  <si>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</si>
  <si>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</si>
  <si>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</si>
  <si>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</si>
  <si>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</si>
  <si>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</si>
  <si>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</si>
  <si>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</si>
  <si>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</si>
  <si>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</si>
  <si>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</si>
  <si>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</si>
  <si>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</si>
  <si>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</si>
  <si>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</si>
  <si>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</si>
  <si>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</si>
  <si>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</si>
  <si>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</si>
  <si>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</si>
  <si>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</si>
  <si>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</si>
  <si>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</si>
  <si>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</si>
  <si>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</si>
  <si>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</si>
  <si>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</si>
  <si>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</si>
  <si>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</si>
  <si>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</si>
  <si>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</si>
  <si>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</si>
  <si>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</si>
  <si>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</si>
  <si>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</si>
  <si>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</si>
  <si>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</si>
  <si>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</si>
  <si>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</si>
  <si>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</si>
  <si>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</si>
  <si>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</si>
  <si>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</si>
  <si>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</si>
  <si>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</si>
  <si>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</si>
  <si>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</si>
  <si>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</si>
  <si>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</si>
  <si>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</si>
  <si>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</si>
  <si>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</si>
  <si>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</si>
  <si>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</si>
  <si>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</si>
  <si>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</si>
  <si>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</si>
  <si>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</si>
  <si>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</si>
  <si>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</si>
  <si>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</si>
  <si>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</si>
  <si>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</si>
  <si>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</si>
  <si>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</si>
  <si>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</si>
  <si>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</si>
  <si>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</si>
  <si>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</si>
  <si>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</si>
  <si>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</si>
  <si>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</si>
  <si>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</si>
  <si>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</si>
  <si>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</si>
  <si>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</si>
  <si>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</si>
  <si>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</si>
  <si>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</si>
  <si>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</si>
  <si>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</si>
  <si>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</si>
  <si>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</si>
  <si>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</si>
  <si>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</si>
  <si>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</si>
  <si>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</si>
  <si>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</si>
  <si>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</si>
  <si>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</si>
  <si>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</si>
  <si>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</si>
  <si>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</si>
  <si>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</si>
  <si>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</si>
  <si>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</si>
  <si>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</si>
  <si>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</si>
  <si>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</si>
  <si>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</si>
  <si>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</si>
  <si>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</si>
  <si>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</si>
  <si>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</si>
  <si>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</si>
  <si>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</si>
  <si>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</si>
  <si>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</si>
  <si>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</si>
  <si>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</si>
  <si>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</si>
  <si>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</si>
  <si>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</si>
  <si>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</si>
  <si>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</si>
  <si>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</si>
  <si>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</si>
  <si>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</si>
  <si>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</si>
  <si>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</si>
  <si>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</si>
  <si>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</si>
  <si>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</si>
  <si>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</si>
  <si>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</si>
  <si>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</si>
  <si>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</si>
  <si>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</si>
  <si>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</si>
  <si>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</si>
  <si>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</si>
  <si>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</si>
  <si>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</si>
  <si>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</si>
  <si>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</si>
  <si>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</si>
  <si>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</si>
  <si>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</si>
  <si>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</si>
  <si>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</si>
  <si>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</si>
  <si>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</si>
  <si>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</si>
  <si>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</si>
  <si>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</si>
  <si>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</si>
  <si>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</si>
  <si>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</si>
  <si>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</si>
  <si>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</si>
  <si>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</si>
  <si>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</si>
  <si>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</si>
  <si>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</si>
  <si>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</si>
  <si>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</si>
  <si>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</si>
  <si>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</si>
  <si>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</si>
  <si>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</si>
  <si>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</si>
  <si>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</si>
  <si>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</si>
  <si>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</si>
  <si>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</si>
  <si>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</si>
  <si>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</si>
  <si>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</si>
  <si>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</si>
  <si>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</si>
  <si>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</si>
  <si>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</si>
  <si>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</si>
  <si>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</si>
  <si>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</si>
  <si>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</si>
  <si>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</si>
  <si>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</si>
  <si>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</si>
  <si>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</si>
  <si>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</si>
  <si>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</si>
  <si>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</si>
  <si>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</si>
  <si>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</si>
  <si>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</si>
  <si>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</si>
  <si>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</si>
  <si>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</si>
  <si>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</si>
  <si>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</si>
  <si>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</si>
  <si>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</si>
  <si>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</si>
  <si>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</si>
  <si>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</si>
  <si>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</si>
  <si>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</si>
  <si>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</si>
  <si>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</si>
  <si>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</si>
  <si>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</si>
  <si>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</si>
  <si>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</si>
  <si>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</si>
  <si>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</si>
  <si>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</si>
  <si>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</si>
  <si>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</si>
  <si>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</si>
  <si>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</si>
  <si>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</si>
  <si>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</si>
  <si>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</si>
  <si>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</si>
  <si>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</si>
  <si>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</si>
  <si>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</si>
  <si>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</si>
  <si>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</si>
  <si>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</si>
  <si>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</si>
  <si>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</si>
  <si>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</si>
  <si>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</si>
  <si>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</si>
  <si>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</si>
  <si>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</si>
  <si>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</si>
  <si>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</si>
  <si>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</si>
  <si>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</si>
  <si>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</si>
  <si>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</si>
  <si>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</si>
  <si>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</si>
  <si>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</si>
  <si>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</si>
  <si>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</si>
  <si>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</si>
  <si>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</si>
  <si>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</si>
  <si>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</si>
  <si>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</si>
  <si>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</si>
  <si>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</si>
  <si>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</si>
  <si>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</si>
  <si>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</si>
  <si>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</si>
  <si>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</si>
  <si>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</si>
  <si>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</si>
  <si>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</si>
  <si>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</si>
  <si>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</si>
  <si>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</si>
  <si>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</si>
  <si>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</si>
  <si>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</si>
  <si>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</si>
  <si>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</si>
  <si>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</si>
  <si>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</si>
  <si>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</si>
  <si>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</si>
  <si>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</si>
  <si>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</si>
  <si>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</si>
  <si>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</si>
  <si>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</si>
  <si>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</si>
  <si>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</si>
  <si>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</si>
  <si>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</si>
  <si>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</si>
  <si>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</si>
  <si>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</si>
  <si>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</si>
  <si>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</si>
  <si>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</si>
  <si>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</si>
  <si>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</si>
  <si>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</si>
  <si>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</si>
  <si>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</si>
  <si>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</si>
  <si>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</si>
  <si>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</si>
  <si>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</si>
  <si>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</si>
  <si>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</si>
  <si>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</si>
  <si>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</si>
  <si>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</si>
  <si>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</si>
  <si>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</si>
  <si>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</si>
  <si>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</si>
  <si>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</si>
  <si>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</si>
  <si>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</si>
  <si>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</si>
  <si>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</si>
  <si>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</si>
  <si>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</si>
  <si>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</si>
  <si>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</si>
  <si>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</si>
  <si>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</si>
  <si>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</si>
  <si>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</si>
  <si>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</si>
  <si>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</si>
  <si>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</si>
  <si>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</si>
  <si>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</si>
  <si>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</si>
  <si>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</si>
  <si>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</si>
  <si>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</si>
  <si>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</si>
  <si>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</si>
  <si>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</si>
  <si>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</si>
  <si>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</si>
  <si>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</si>
  <si>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</si>
  <si>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</si>
  <si>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</si>
  <si>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</si>
  <si>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</si>
  <si>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</si>
  <si>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</si>
  <si>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</si>
  <si>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</si>
  <si>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</si>
  <si>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</si>
  <si>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</si>
  <si>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</si>
  <si>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</si>
  <si>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</si>
  <si>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</si>
  <si>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</si>
  <si>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</si>
  <si>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</si>
  <si>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</si>
  <si>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</si>
  <si>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</si>
  <si>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</si>
  <si>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</si>
  <si>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</si>
  <si>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</si>
  <si>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</si>
  <si>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</si>
  <si>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</si>
  <si>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</si>
  <si>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</si>
  <si>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</si>
  <si>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</si>
  <si>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</si>
  <si>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</si>
  <si>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</si>
  <si>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</si>
  <si>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</si>
  <si>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</si>
  <si>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</si>
  <si>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</si>
  <si>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</si>
  <si>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</si>
  <si>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</si>
  <si>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</si>
  <si>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</si>
  <si>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</si>
  <si>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</si>
  <si>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</si>
  <si>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</si>
  <si>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</si>
  <si>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</si>
  <si>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</si>
  <si>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</si>
  <si>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</si>
  <si>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</si>
  <si>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</si>
  <si>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</si>
  <si>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</si>
  <si>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</si>
  <si>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</si>
  <si>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</si>
  <si>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</si>
  <si>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</si>
  <si>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</si>
  <si>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</si>
  <si>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</si>
  <si>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</si>
  <si>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</si>
  <si>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</si>
  <si>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</si>
  <si>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</si>
  <si>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</si>
  <si>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</si>
  <si>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</si>
  <si>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</si>
  <si>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</si>
  <si>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</si>
  <si>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</si>
  <si>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</si>
  <si>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</si>
  <si>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</si>
  <si>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</si>
  <si>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</si>
  <si>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</si>
  <si>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</si>
  <si>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</si>
  <si>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</si>
  <si>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</si>
  <si>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</si>
  <si>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</si>
  <si>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</si>
  <si>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</si>
  <si>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</si>
  <si>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</si>
  <si>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</si>
  <si>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</si>
  <si>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</si>
  <si>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</si>
  <si>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</si>
  <si>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</si>
  <si>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</si>
  <si>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</si>
  <si>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</si>
  <si>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</si>
  <si>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</si>
  <si>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</si>
  <si>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</si>
  <si>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</si>
  <si>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</si>
  <si>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</si>
  <si>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</si>
  <si>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</si>
  <si>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</si>
  <si>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</si>
  <si>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</si>
  <si>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</si>
  <si>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</si>
  <si>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</si>
  <si>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</si>
  <si>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</si>
  <si>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</si>
  <si>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</si>
  <si>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</si>
  <si>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</si>
  <si>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</si>
  <si>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</si>
  <si>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</si>
  <si>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</si>
  <si>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</si>
  <si>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</si>
  <si>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</si>
  <si>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</si>
  <si>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</si>
  <si>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</si>
  <si>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</si>
  <si>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</si>
  <si>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</si>
  <si>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</si>
  <si>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</si>
  <si>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</si>
  <si>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</si>
  <si>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</si>
  <si>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</si>
  <si>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</si>
  <si>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</si>
  <si>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</si>
  <si>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</si>
  <si>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</si>
  <si>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</si>
  <si>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</si>
  <si>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</si>
  <si>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</si>
  <si>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</si>
  <si>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</si>
  <si>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</si>
  <si>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</si>
  <si>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</si>
  <si>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</si>
  <si>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</si>
  <si>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</si>
  <si>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</si>
  <si>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</si>
  <si>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</si>
  <si>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</si>
  <si>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</si>
  <si>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</si>
  <si>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</si>
  <si>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</si>
  <si>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</si>
  <si>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</si>
  <si>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</si>
  <si>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</si>
  <si>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</si>
  <si>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</si>
  <si>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</si>
  <si>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</si>
  <si>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</si>
  <si>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</si>
  <si>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</si>
  <si>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</si>
  <si>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</si>
  <si>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</si>
  <si>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</si>
  <si>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</si>
  <si>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</si>
  <si>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</si>
  <si>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</si>
  <si>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</si>
  <si>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</si>
  <si>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</si>
  <si>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</si>
  <si>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</si>
  <si>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</si>
  <si>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</si>
  <si>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</si>
  <si>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</si>
  <si>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</si>
  <si>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</si>
  <si>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</si>
  <si>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</si>
  <si>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</si>
  <si>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</si>
  <si>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</si>
  <si>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</si>
  <si>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</si>
  <si>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</si>
  <si>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</si>
  <si>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</si>
  <si>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</si>
  <si>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</si>
  <si>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</si>
  <si>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</si>
  <si>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</si>
  <si>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</si>
  <si>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</si>
  <si>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</si>
  <si>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</si>
  <si>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</si>
  <si>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</si>
  <si>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</si>
  <si>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</si>
  <si>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</si>
  <si>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</si>
  <si>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</si>
  <si>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</si>
  <si>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</si>
  <si>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</si>
  <si>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</si>
  <si>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</si>
  <si>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</si>
  <si>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</si>
  <si>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</si>
  <si>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</si>
  <si>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</si>
  <si>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</si>
  <si>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</si>
  <si>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</si>
  <si>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</si>
  <si>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</si>
  <si>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</si>
  <si>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</si>
  <si>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</si>
  <si>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</si>
  <si>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</si>
  <si>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</si>
  <si>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</si>
  <si>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</si>
  <si>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</si>
  <si>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</si>
  <si>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</si>
  <si>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</si>
  <si>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</si>
  <si>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</si>
  <si>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</si>
  <si>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</si>
  <si>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</si>
  <si>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</si>
  <si>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</si>
  <si>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</si>
  <si>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</si>
  <si>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</si>
  <si>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</si>
  <si>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</si>
  <si>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</si>
  <si>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</si>
  <si>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</si>
  <si>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</si>
  <si>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</si>
  <si>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</si>
  <si>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</si>
  <si>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</si>
  <si>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</si>
  <si>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</si>
  <si>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</si>
  <si>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</si>
  <si>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</si>
  <si>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</si>
  <si>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</si>
  <si>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</si>
  <si>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</si>
  <si>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</si>
  <si>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</si>
  <si>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</si>
  <si>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</si>
  <si>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</si>
  <si>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</si>
  <si>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</si>
  <si>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</si>
  <si>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</si>
  <si>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</si>
  <si>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</si>
  <si>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</si>
  <si>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</si>
  <si>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</si>
  <si>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</si>
  <si>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</si>
  <si>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</si>
  <si>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</si>
  <si>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</si>
  <si>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</si>
  <si>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</si>
  <si>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</si>
  <si>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</si>
  <si>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</si>
  <si>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</si>
  <si>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</si>
  <si>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</si>
  <si>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</si>
  <si>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</si>
  <si>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</si>
  <si>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</si>
  <si>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</si>
  <si>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</si>
  <si>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</si>
  <si>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</si>
  <si>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</si>
  <si>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</si>
  <si>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</si>
  <si>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</si>
  <si>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</si>
  <si>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</si>
  <si>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</si>
  <si>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</si>
  <si>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</si>
  <si>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</si>
  <si>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</si>
  <si>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</si>
  <si>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</si>
  <si>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</si>
  <si>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</si>
  <si>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</si>
  <si>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</si>
  <si>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</si>
  <si>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</si>
  <si>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</si>
  <si>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</si>
  <si>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</si>
  <si>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</si>
  <si>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</si>
  <si>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</si>
  <si>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</si>
  <si>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</si>
  <si>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</si>
  <si>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</si>
  <si>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</si>
  <si>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</si>
  <si>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</si>
  <si>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</si>
  <si>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</si>
  <si>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</si>
  <si>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</si>
  <si>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</si>
  <si>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</si>
  <si>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</si>
  <si>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</si>
  <si>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</si>
  <si>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</si>
  <si>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</si>
  <si>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</si>
  <si>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</si>
  <si>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</si>
  <si>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</si>
  <si>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</si>
  <si>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</si>
  <si>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</si>
  <si>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</si>
  <si>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</si>
  <si>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</si>
  <si>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</si>
  <si>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</si>
  <si>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</si>
  <si>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</si>
  <si>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</si>
  <si>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</si>
  <si>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</si>
  <si>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</si>
  <si>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</si>
  <si>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</si>
  <si>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</si>
  <si>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</si>
  <si>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</si>
  <si>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</si>
  <si>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</si>
  <si>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</si>
  <si>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</si>
  <si>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</si>
  <si>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</si>
  <si>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</si>
  <si>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</si>
  <si>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</si>
  <si>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</si>
  <si>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</si>
  <si>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</si>
  <si>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</si>
  <si>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</si>
  <si>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</si>
  <si>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</si>
  <si>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</si>
  <si>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</si>
  <si>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</si>
  <si>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</si>
  <si>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</si>
  <si>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</si>
  <si>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</si>
  <si>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</si>
  <si>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</si>
  <si>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</si>
  <si>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</si>
  <si>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</si>
  <si>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</si>
  <si>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</si>
  <si>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</si>
  <si>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</si>
  <si>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</si>
  <si>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</si>
  <si>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</si>
  <si>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</si>
  <si>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</si>
  <si>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</si>
  <si>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</si>
  <si>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</si>
  <si>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</si>
  <si>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</si>
  <si>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</si>
  <si>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</si>
  <si>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</si>
  <si>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</si>
  <si>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</si>
  <si>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</si>
  <si>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</si>
  <si>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</si>
  <si>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</si>
  <si>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</si>
  <si>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</si>
  <si>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</si>
  <si>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</si>
  <si>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</si>
  <si>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</si>
  <si>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</si>
  <si>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</si>
  <si>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</si>
  <si>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</si>
  <si>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</si>
  <si>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</si>
  <si>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</si>
  <si>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</si>
  <si>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</si>
  <si>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</si>
  <si>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</si>
  <si>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</si>
  <si>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</si>
  <si>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</si>
  <si>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</si>
  <si>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</si>
  <si>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</si>
  <si>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</si>
  <si>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</si>
  <si>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</si>
  <si>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</si>
  <si>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</si>
  <si>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</si>
  <si>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</si>
  <si>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</si>
  <si>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</si>
  <si>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</si>
  <si>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</si>
  <si>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</si>
  <si>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</si>
  <si>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</si>
  <si>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</si>
  <si>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</si>
  <si>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</si>
  <si>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</si>
  <si>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</si>
  <si>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</si>
  <si>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</si>
  <si>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</si>
  <si>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</si>
  <si>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</si>
  <si>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</si>
  <si>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</si>
  <si>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</si>
  <si>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</si>
  <si>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</si>
  <si>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</si>
  <si>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</si>
  <si>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</si>
  <si>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</si>
  <si>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</si>
  <si>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</si>
  <si>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</si>
  <si>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</si>
  <si>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</si>
  <si>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</si>
  <si>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</si>
  <si>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</si>
  <si>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</si>
  <si>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</si>
  <si>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</si>
  <si>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</si>
  <si>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</si>
  <si>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</si>
  <si>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</si>
  <si>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</si>
  <si>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</si>
  <si>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</si>
  <si>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</si>
  <si>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</si>
  <si>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</si>
  <si>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</si>
  <si>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</si>
  <si>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</si>
  <si>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</si>
  <si>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</si>
  <si>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</si>
  <si>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</si>
  <si>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</si>
  <si>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</si>
  <si>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</si>
  <si>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</si>
  <si>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</si>
  <si>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</si>
  <si>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</si>
  <si>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</si>
  <si>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</si>
  <si>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</si>
  <si>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</si>
  <si>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</si>
  <si>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</si>
  <si>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</si>
  <si>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</si>
  <si>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</si>
  <si>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</si>
  <si>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</si>
  <si>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</si>
  <si>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</si>
  <si>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</si>
  <si>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</si>
  <si>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</si>
  <si>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</si>
  <si>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</si>
  <si>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</si>
  <si>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</si>
  <si>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</si>
  <si>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</si>
  <si>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</si>
  <si>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</si>
  <si>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</si>
  <si>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</si>
  <si>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</si>
  <si>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</si>
  <si>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</si>
  <si>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</si>
  <si>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</si>
  <si>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</si>
  <si>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</si>
  <si>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</si>
  <si>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</si>
  <si>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</si>
  <si>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</si>
  <si>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</si>
  <si>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</si>
  <si>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</si>
  <si>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</si>
  <si>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</si>
  <si>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</si>
  <si>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</si>
  <si>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</si>
  <si>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</si>
  <si>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</si>
  <si>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</si>
  <si>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</si>
  <si>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</si>
  <si>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</si>
  <si>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</si>
  <si>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</si>
  <si>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</si>
  <si>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</si>
  <si>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</si>
  <si>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</si>
  <si>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</si>
  <si>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</si>
  <si>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</si>
  <si>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</si>
  <si>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</si>
  <si>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</si>
  <si>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</si>
  <si>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</si>
  <si>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</si>
  <si>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</si>
  <si>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</si>
  <si>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</si>
  <si>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</si>
  <si>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</si>
  <si>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</si>
  <si>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</si>
  <si>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</si>
  <si>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</si>
  <si>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</si>
  <si>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</si>
  <si>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</si>
  <si>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</si>
  <si>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</si>
  <si>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</si>
  <si>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</si>
  <si>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</si>
  <si>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</si>
  <si>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</si>
  <si>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</si>
  <si>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</si>
  <si>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</si>
  <si>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</si>
  <si>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</si>
  <si>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</si>
  <si>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</si>
  <si>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</si>
  <si>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</si>
  <si>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</si>
  <si>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</si>
  <si>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</si>
  <si>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</si>
  <si>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</si>
  <si>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</si>
  <si>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</si>
  <si>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</si>
  <si>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</si>
  <si>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</si>
  <si>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</si>
  <si>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</si>
  <si>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</si>
  <si>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</si>
  <si>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</si>
  <si>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</si>
  <si>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</si>
  <si>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</si>
  <si>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</si>
  <si>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</si>
  <si>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</si>
  <si>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</si>
  <si>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</si>
  <si>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</si>
  <si>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</si>
  <si>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</si>
  <si>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</si>
  <si>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</si>
  <si>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</si>
  <si>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</si>
  <si>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</si>
  <si>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</si>
  <si>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</si>
  <si>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</si>
  <si>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</si>
  <si>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</si>
  <si>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</si>
  <si>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</si>
  <si>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</si>
  <si>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</si>
  <si>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</si>
  <si>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</si>
  <si>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</si>
  <si>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</si>
  <si>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</si>
  <si>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</si>
  <si>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</si>
  <si>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</si>
  <si>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</si>
  <si>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</si>
  <si>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</si>
  <si>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</si>
  <si>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</si>
  <si>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</si>
  <si>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</si>
  <si>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</si>
  <si>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</si>
  <si>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</si>
  <si>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</si>
  <si>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</si>
  <si>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</si>
  <si>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</si>
  <si>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</si>
  <si>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</si>
  <si>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</si>
  <si>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</si>
  <si>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</si>
  <si>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</si>
  <si>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</si>
  <si>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</si>
  <si>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</si>
  <si>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</si>
  <si>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</si>
  <si>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</si>
  <si>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</si>
  <si>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</si>
  <si>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</si>
  <si>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</si>
  <si>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</si>
  <si>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</si>
  <si>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</si>
  <si>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</si>
  <si>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</si>
  <si>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</si>
  <si>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</si>
  <si>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</si>
  <si>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</si>
  <si>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</si>
  <si>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</si>
  <si>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</si>
  <si>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</si>
  <si>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</si>
  <si>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</si>
  <si>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</si>
  <si>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</si>
  <si>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</si>
  <si>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</si>
  <si>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</si>
  <si>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</si>
  <si>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</si>
  <si>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</si>
  <si>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</si>
  <si>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</si>
  <si>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</si>
  <si>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</si>
  <si>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</si>
  <si>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</si>
  <si>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</si>
  <si>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</si>
  <si>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</si>
  <si>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</si>
  <si>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</si>
  <si>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</si>
  <si>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</si>
  <si>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</si>
  <si>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</si>
  <si>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</si>
  <si>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</si>
  <si>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</si>
  <si>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</si>
  <si>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</si>
  <si>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</si>
  <si>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</si>
  <si>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</si>
  <si>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</si>
  <si>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</si>
  <si>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</si>
  <si>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</si>
  <si>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</si>
  <si>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</si>
  <si>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</si>
  <si>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</si>
  <si>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</si>
  <si>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</si>
  <si>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</si>
  <si>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</si>
  <si>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</si>
  <si>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</si>
  <si>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</si>
  <si>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</si>
  <si>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</si>
  <si>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</si>
  <si>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</si>
  <si>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</si>
  <si>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</si>
  <si>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</si>
  <si>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</si>
  <si>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</si>
  <si>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</si>
  <si>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</si>
  <si>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</si>
  <si>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</si>
  <si>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</si>
  <si>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</si>
  <si>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</si>
  <si>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</si>
  <si>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</si>
  <si>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</si>
  <si>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</si>
  <si>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</si>
  <si>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</si>
  <si>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</si>
  <si>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</si>
  <si>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</si>
  <si>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</si>
  <si>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</si>
  <si>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</si>
  <si>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</si>
  <si>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</si>
  <si>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</si>
  <si>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</si>
  <si>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</si>
  <si>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</si>
  <si>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</si>
  <si>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</si>
  <si>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</si>
  <si>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</si>
  <si>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</si>
  <si>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</si>
  <si>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</si>
  <si>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</si>
  <si>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</si>
  <si>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</si>
  <si>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</si>
  <si>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</si>
  <si>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</si>
  <si>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</si>
  <si>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</si>
  <si>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</si>
  <si>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</si>
  <si>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</si>
  <si>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</si>
  <si>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</si>
  <si>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</si>
  <si>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</si>
  <si>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</si>
  <si>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</si>
  <si>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</si>
  <si>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</si>
  <si>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</si>
  <si>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</si>
  <si>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</si>
  <si>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</si>
  <si>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</si>
  <si>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</si>
  <si>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</si>
  <si>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</si>
  <si>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</si>
  <si>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</si>
  <si>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</si>
  <si>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</si>
  <si>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</si>
  <si>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</si>
  <si>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</si>
  <si>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</si>
  <si>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</si>
  <si>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</si>
  <si>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</si>
  <si>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</si>
  <si>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</si>
  <si>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</si>
  <si>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</si>
  <si>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</si>
  <si>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</si>
  <si>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</si>
  <si>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</si>
  <si>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</si>
  <si>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</si>
  <si>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</si>
  <si>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</si>
  <si>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</si>
  <si>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</si>
  <si>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</si>
  <si>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</si>
  <si>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</si>
  <si>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</si>
  <si>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</si>
  <si>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</si>
  <si>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</si>
  <si>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</si>
  <si>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</si>
  <si>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</si>
  <si>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</si>
  <si>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</si>
  <si>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</si>
  <si>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</si>
  <si>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</si>
  <si>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</si>
  <si>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</si>
  <si>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</si>
  <si>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</si>
  <si>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</si>
  <si>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</si>
  <si>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</si>
  <si>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</si>
  <si>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</si>
  <si>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</si>
  <si>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</si>
  <si>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</si>
  <si>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</si>
  <si>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</si>
  <si>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</si>
  <si>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</si>
  <si>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</si>
  <si>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</si>
  <si>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</si>
  <si>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</si>
  <si>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</si>
  <si>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</si>
  <si>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</si>
  <si>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</si>
  <si>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</si>
  <si>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</si>
  <si>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</si>
  <si>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</si>
  <si>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</si>
  <si>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</si>
  <si>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</si>
  <si>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</si>
  <si>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</si>
  <si>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</si>
  <si>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</si>
  <si>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</si>
  <si>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</si>
  <si>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</si>
  <si>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</si>
  <si>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</si>
  <si>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</si>
  <si>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</si>
  <si>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</si>
  <si>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</si>
  <si>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</si>
  <si>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</si>
  <si>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</si>
  <si>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</si>
  <si>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</si>
  <si>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</si>
  <si>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</si>
  <si>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</si>
  <si>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</si>
  <si>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</si>
  <si>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</si>
  <si>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</si>
  <si>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</si>
  <si>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</si>
  <si>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</si>
  <si>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</si>
  <si>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</si>
  <si>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</si>
  <si>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</si>
  <si>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</si>
  <si>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</si>
  <si>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</si>
  <si>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</si>
  <si>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</si>
  <si>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</si>
  <si>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</si>
  <si>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</si>
  <si>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</si>
  <si>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</si>
  <si>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</si>
  <si>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</si>
  <si>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</si>
  <si>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</si>
  <si>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</si>
  <si>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</si>
  <si>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</si>
  <si>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</si>
  <si>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</si>
  <si>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</si>
  <si>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</si>
  <si>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</si>
  <si>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</si>
  <si>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</si>
  <si>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</si>
  <si>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</si>
  <si>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</si>
  <si>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</si>
  <si>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</si>
  <si>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</si>
  <si>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</si>
  <si>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</si>
  <si>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</si>
  <si>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</si>
  <si>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</si>
  <si>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</si>
  <si>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</si>
  <si>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</si>
  <si>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</si>
  <si>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</si>
  <si>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</si>
  <si>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</si>
  <si>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</si>
  <si>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</si>
  <si>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</si>
  <si>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</si>
  <si>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</si>
  <si>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</si>
  <si>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</si>
  <si>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</si>
  <si>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</si>
  <si>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</si>
  <si>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</si>
  <si>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</si>
  <si>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</si>
  <si>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</si>
  <si>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</si>
  <si>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</si>
  <si>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</si>
  <si>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</si>
  <si>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</si>
  <si>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</si>
  <si>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</si>
  <si>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</si>
  <si>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</si>
  <si>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</si>
  <si>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</si>
  <si>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</si>
  <si>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</si>
  <si>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</si>
  <si>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</si>
  <si>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</si>
  <si>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</si>
  <si>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</si>
  <si>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</si>
  <si>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</si>
  <si>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</si>
  <si>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</si>
  <si>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</si>
  <si>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</si>
  <si>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</si>
  <si>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</si>
  <si>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</si>
  <si>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</si>
  <si>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</si>
  <si>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</si>
  <si>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</si>
  <si>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</si>
  <si>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</si>
  <si>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</si>
  <si>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</si>
  <si>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</si>
  <si>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</si>
  <si>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</si>
  <si>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</si>
  <si>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</si>
  <si>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</si>
  <si>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</si>
  <si>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</si>
  <si>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</si>
  <si>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</si>
  <si>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</si>
  <si>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</si>
  <si>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</si>
  <si>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</si>
  <si>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</si>
  <si>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</si>
  <si>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</si>
  <si>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</si>
  <si>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</si>
  <si>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</si>
  <si>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</si>
  <si>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</si>
  <si>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</si>
  <si>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</si>
  <si>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</si>
  <si>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</si>
  <si>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</si>
  <si>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</si>
  <si>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</si>
  <si>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</si>
  <si>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</si>
  <si>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</si>
  <si>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</si>
  <si>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</si>
  <si>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</si>
  <si>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</si>
  <si>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</si>
  <si>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</si>
  <si>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</si>
  <si>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</si>
  <si>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</si>
  <si>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</si>
  <si>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</si>
  <si>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</si>
  <si>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</si>
  <si>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</si>
  <si>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</si>
  <si>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</si>
  <si>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</si>
  <si>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</si>
  <si>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</si>
  <si>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</si>
  <si>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</si>
  <si>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</si>
  <si>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</si>
  <si>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</si>
  <si>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</si>
  <si>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</si>
  <si>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</si>
  <si>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</si>
  <si>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</si>
  <si>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</si>
  <si>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</si>
  <si>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</si>
  <si>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</si>
  <si>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</si>
  <si>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</si>
  <si>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</si>
  <si>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</si>
  <si>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</si>
  <si>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</si>
  <si>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</si>
  <si>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</si>
  <si>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</si>
  <si>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</si>
  <si>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</si>
  <si>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</si>
  <si>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</si>
  <si>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</si>
  <si>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</si>
  <si>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</si>
  <si>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</si>
  <si>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</si>
  <si>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</si>
  <si>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</si>
  <si>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</si>
  <si>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</si>
  <si>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</si>
  <si>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</si>
  <si>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</si>
  <si>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</si>
  <si>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</si>
  <si>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</si>
  <si>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</si>
  <si>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</si>
  <si>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</si>
  <si>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</si>
  <si>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</si>
  <si>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</si>
  <si>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</si>
  <si>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</si>
  <si>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</si>
  <si>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</si>
  <si>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</si>
  <si>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</si>
  <si>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</si>
  <si>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</si>
  <si>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</si>
  <si>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</si>
  <si>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</si>
  <si>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</si>
  <si>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</si>
  <si>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</si>
  <si>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</si>
  <si>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</si>
  <si>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</si>
  <si>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</si>
  <si>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</si>
  <si>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</si>
  <si>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</si>
  <si>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</si>
  <si>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</si>
  <si>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</si>
  <si>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</si>
  <si>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</si>
  <si>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</si>
  <si>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</si>
  <si>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</si>
  <si>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</si>
  <si>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</si>
  <si>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</si>
  <si>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</si>
  <si>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</si>
  <si>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</si>
  <si>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</si>
  <si>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</si>
  <si>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</si>
  <si>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</si>
  <si>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</si>
  <si>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</si>
  <si>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</si>
  <si>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</si>
  <si>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</si>
  <si>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</si>
  <si>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</si>
  <si>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</si>
  <si>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</si>
  <si>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</si>
  <si>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</si>
  <si>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</si>
  <si>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</si>
  <si>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</si>
  <si>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</si>
  <si>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</si>
  <si>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</si>
  <si>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</si>
  <si>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</si>
  <si>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</si>
  <si>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</si>
  <si>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</si>
  <si>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</si>
  <si>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</si>
  <si>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</si>
  <si>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</si>
  <si>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</si>
  <si>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</si>
  <si>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</si>
  <si>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</si>
  <si>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</si>
  <si>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</si>
  <si>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</si>
  <si>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</si>
  <si>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</si>
  <si>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</si>
  <si>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</si>
  <si>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</si>
  <si>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</si>
  <si>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</si>
  <si>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</si>
  <si>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</si>
  <si>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</si>
  <si>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</si>
  <si>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</si>
  <si>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</si>
  <si>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</si>
  <si>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</si>
  <si>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</si>
  <si>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</si>
  <si>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</si>
  <si>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</si>
  <si>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</si>
  <si>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</si>
  <si>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</si>
  <si>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</si>
  <si>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</si>
  <si>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</si>
  <si>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</si>
  <si>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</si>
  <si>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</si>
  <si>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</si>
  <si>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</si>
  <si>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</si>
  <si>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</si>
  <si>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</si>
  <si>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</si>
  <si>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</si>
  <si>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</si>
  <si>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</si>
  <si>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</si>
  <si>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</si>
  <si>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</si>
  <si>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</si>
  <si>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</si>
  <si>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</si>
  <si>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</si>
  <si>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</si>
  <si>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</si>
  <si>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</si>
  <si>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</si>
  <si>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</si>
  <si>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</si>
  <si>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</si>
  <si>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</si>
  <si>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</si>
  <si>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</si>
  <si>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</si>
  <si>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</si>
  <si>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</si>
  <si>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</si>
  <si>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</si>
  <si>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</si>
  <si>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</si>
  <si>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</si>
  <si>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</si>
  <si>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</si>
  <si>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</si>
  <si>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</si>
  <si>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</si>
  <si>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</si>
  <si>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</si>
  <si>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</si>
  <si>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</si>
  <si>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</si>
  <si>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</si>
  <si>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</si>
  <si>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</si>
  <si>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</si>
  <si>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</si>
  <si>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</si>
  <si>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</si>
  <si>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</si>
  <si>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</si>
  <si>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</si>
  <si>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</si>
  <si>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</si>
  <si>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</si>
  <si>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</si>
  <si>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</si>
  <si>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</si>
  <si>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</si>
  <si>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</si>
  <si>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</si>
  <si>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</si>
  <si>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</si>
  <si>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</si>
  <si>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</si>
  <si>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</si>
  <si>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</si>
  <si>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</si>
  <si>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</si>
  <si>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</si>
  <si>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</si>
  <si>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</si>
  <si>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</si>
  <si>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</si>
  <si>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</si>
  <si>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</si>
  <si>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</si>
  <si>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</si>
  <si>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</si>
  <si>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</si>
  <si>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</si>
  <si>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</si>
  <si>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</si>
  <si>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</si>
  <si>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</si>
  <si>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</si>
  <si>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</si>
  <si>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</si>
  <si>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</si>
  <si>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</si>
  <si>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</si>
  <si>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</si>
  <si>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</si>
  <si>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</si>
  <si>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</si>
  <si>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</si>
  <si>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</si>
  <si>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</si>
  <si>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</si>
  <si>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</si>
  <si>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</si>
  <si>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</si>
  <si>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</si>
  <si>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</si>
  <si>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</si>
  <si>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</si>
  <si>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</si>
  <si>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</si>
  <si>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</si>
  <si>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</si>
  <si>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</si>
  <si>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</si>
  <si>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</si>
  <si>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</si>
  <si>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</si>
  <si>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</si>
  <si>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</si>
  <si>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</si>
  <si>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</si>
  <si>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</si>
  <si>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</si>
  <si>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</si>
  <si>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</si>
  <si>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</si>
  <si>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</si>
  <si>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</si>
  <si>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</si>
  <si>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</si>
  <si>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</si>
  <si>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</si>
  <si>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</si>
  <si>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</si>
  <si>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</si>
  <si>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</si>
  <si>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</si>
  <si>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</si>
  <si>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</si>
  <si>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</si>
  <si>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</si>
  <si>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</si>
  <si>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</si>
  <si>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</si>
  <si>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</si>
  <si>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</si>
  <si>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</si>
  <si>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</si>
  <si>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</si>
  <si>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</si>
  <si>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</si>
  <si>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</si>
  <si>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</si>
  <si>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</si>
  <si>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</si>
  <si>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</si>
  <si>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</si>
  <si>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</si>
  <si>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</si>
  <si>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</si>
  <si>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</si>
  <si>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</si>
  <si>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</si>
  <si>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</si>
  <si>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</si>
  <si>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</si>
  <si>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</si>
  <si>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</si>
  <si>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</si>
  <si>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</si>
  <si>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</si>
  <si>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</si>
  <si>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</si>
  <si>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</si>
  <si>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</si>
  <si>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</si>
  <si>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</si>
  <si>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</si>
  <si>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</si>
  <si>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</si>
  <si>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</si>
  <si>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</si>
  <si>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</si>
  <si>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</si>
  <si>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</si>
  <si>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</si>
  <si>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</si>
  <si>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</si>
  <si>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</si>
  <si>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</si>
  <si>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</si>
  <si>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</si>
  <si>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</si>
  <si>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</si>
  <si>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</si>
  <si>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</si>
  <si>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</si>
  <si>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</si>
  <si>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</si>
  <si>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</si>
  <si>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</si>
  <si>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</si>
  <si>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</si>
  <si>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</si>
  <si>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</si>
  <si>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</si>
  <si>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</si>
  <si>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</si>
  <si>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</si>
  <si>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</si>
  <si>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</si>
  <si>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</si>
  <si>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</si>
  <si>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</si>
  <si>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</si>
  <si>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</si>
  <si>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</si>
  <si>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</si>
  <si>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</si>
  <si>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</si>
  <si>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</si>
  <si>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</si>
  <si>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</si>
  <si>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</si>
  <si>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</si>
  <si>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</si>
  <si>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</si>
  <si>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</si>
  <si>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</si>
  <si>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</si>
  <si>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</si>
  <si>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</si>
  <si>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</si>
  <si>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</si>
  <si>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</si>
  <si>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</si>
  <si>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</si>
  <si>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</si>
  <si>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</si>
  <si>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</si>
  <si>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</si>
  <si>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</si>
  <si>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</si>
  <si>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</si>
  <si>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</si>
  <si>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</si>
  <si>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</si>
  <si>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</si>
  <si>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</si>
  <si>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</si>
  <si>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</si>
  <si>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</si>
  <si>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</si>
  <si>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</si>
  <si>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</si>
  <si>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</si>
  <si>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</si>
  <si>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</si>
  <si>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</si>
  <si>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</si>
  <si>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</si>
  <si>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</si>
  <si>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</si>
  <si>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</si>
  <si>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</si>
  <si>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</si>
  <si>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</si>
  <si>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</si>
  <si>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</si>
  <si>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</si>
  <si>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</si>
  <si>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</si>
  <si>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</si>
  <si>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</si>
  <si>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</si>
  <si>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</si>
  <si>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</si>
  <si>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</si>
  <si>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</si>
  <si>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</si>
  <si>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</si>
  <si>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</si>
  <si>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</si>
  <si>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</si>
  <si>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</si>
  <si>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</si>
  <si>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</si>
  <si>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</si>
  <si>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</si>
  <si>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</si>
  <si>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</si>
  <si>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</si>
  <si>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</si>
  <si>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</si>
  <si>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</si>
  <si>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</si>
  <si>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</si>
  <si>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</si>
  <si>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</si>
  <si>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</si>
  <si>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</si>
  <si>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</si>
  <si>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</si>
  <si>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</si>
  <si>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</si>
  <si>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</si>
  <si>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</si>
  <si>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</si>
  <si>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</si>
  <si>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</si>
  <si>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</si>
  <si>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</si>
  <si>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</si>
  <si>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</si>
  <si>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</si>
  <si>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</si>
  <si>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</si>
  <si>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</si>
  <si>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</si>
  <si>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</si>
  <si>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</si>
  <si>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</si>
  <si>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</si>
  <si>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</si>
  <si>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</si>
  <si>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</si>
  <si>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</si>
  <si>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</si>
  <si>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</si>
  <si>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</si>
  <si>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</si>
  <si>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</si>
  <si>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</si>
  <si>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</si>
  <si>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</si>
  <si>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</si>
  <si>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</si>
  <si>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</si>
  <si>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</si>
  <si>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</si>
  <si>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</si>
  <si>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</si>
  <si>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</si>
  <si>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</si>
  <si>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</si>
  <si>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</si>
  <si>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</si>
  <si>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</si>
  <si>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</si>
  <si>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</si>
  <si>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</si>
  <si>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</si>
  <si>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</si>
  <si>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</si>
  <si>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</si>
  <si>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</si>
  <si>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</si>
  <si>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</si>
  <si>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</si>
  <si>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</si>
  <si>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</si>
  <si>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</si>
  <si>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</si>
  <si>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</si>
  <si>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</si>
  <si>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</si>
  <si>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</si>
  <si>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</si>
  <si>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</si>
  <si>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</si>
  <si>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</si>
  <si>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</si>
  <si>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</si>
  <si>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</si>
  <si>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</si>
  <si>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</si>
  <si>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</si>
  <si>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</si>
  <si>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</si>
  <si>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</si>
  <si>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</si>
  <si>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</si>
  <si>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</si>
  <si>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</si>
  <si>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</si>
  <si>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</si>
  <si>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</si>
  <si>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</si>
  <si>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</si>
  <si>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</si>
  <si>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</si>
  <si>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</si>
  <si>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</si>
  <si>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</si>
  <si>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</si>
  <si>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</si>
  <si>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</si>
  <si>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</si>
  <si>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</si>
  <si>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</si>
  <si>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</si>
  <si>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</si>
  <si>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</si>
  <si>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</si>
  <si>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</si>
  <si>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</si>
  <si>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</si>
  <si>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</si>
  <si>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</si>
  <si>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</si>
  <si>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</si>
  <si>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</si>
  <si>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</si>
  <si>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</si>
  <si>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</si>
  <si>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</si>
  <si>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</si>
  <si>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</si>
  <si>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</si>
  <si>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</si>
  <si>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</si>
  <si>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</si>
  <si>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</si>
  <si>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</si>
  <si>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</si>
  <si>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</si>
  <si>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</si>
  <si>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</si>
  <si>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</si>
  <si>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</si>
  <si>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</si>
  <si>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</si>
  <si>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</si>
  <si>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</si>
  <si>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</si>
  <si>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</si>
  <si>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</si>
  <si>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</si>
  <si>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</si>
  <si>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</si>
  <si>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</si>
  <si>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</si>
  <si>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</si>
  <si>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</si>
  <si>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</si>
  <si>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</si>
  <si>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</si>
  <si>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</si>
  <si>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</si>
  <si>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</si>
  <si>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</si>
  <si>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</si>
  <si>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</si>
  <si>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</si>
  <si>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</si>
  <si>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</si>
  <si>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</si>
  <si>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</si>
  <si>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</si>
  <si>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</si>
  <si>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</si>
  <si>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</si>
  <si>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</si>
  <si>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</si>
  <si>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</si>
  <si>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</si>
  <si>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</si>
  <si>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</si>
  <si>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</si>
  <si>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</si>
  <si>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</si>
  <si>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</si>
  <si>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</si>
  <si>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</si>
  <si>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</si>
  <si>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</si>
  <si>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</si>
  <si>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</si>
  <si>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</si>
  <si>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</si>
  <si>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</si>
  <si>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</si>
  <si>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</si>
  <si>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</si>
  <si>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</si>
  <si>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</si>
  <si>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</si>
  <si>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</si>
  <si>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</si>
  <si>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</si>
  <si>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</si>
  <si>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</si>
  <si>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</si>
  <si>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</si>
  <si>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</si>
  <si>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</si>
  <si>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</si>
  <si>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</si>
  <si>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</si>
  <si>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</si>
  <si>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</si>
  <si>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</si>
  <si>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</si>
  <si>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</si>
  <si>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</si>
  <si>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</si>
  <si>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</si>
  <si>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</si>
  <si>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</si>
  <si>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</si>
  <si>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</si>
  <si>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</si>
  <si>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</si>
  <si>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</si>
  <si>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</si>
  <si>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</si>
  <si>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</si>
  <si>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</si>
  <si>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</si>
  <si>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</si>
  <si>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</si>
  <si>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</si>
  <si>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</si>
  <si>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</si>
  <si>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</si>
  <si>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</si>
  <si>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</si>
  <si>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</si>
  <si>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</si>
  <si>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</si>
  <si>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</si>
  <si>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</si>
  <si>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</si>
  <si>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</si>
  <si>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</si>
  <si>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</si>
  <si>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</si>
  <si>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</si>
  <si>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</si>
  <si>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</si>
  <si>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</si>
  <si>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</si>
  <si>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</si>
  <si>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</si>
  <si>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</si>
  <si>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</si>
  <si>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</si>
  <si>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</si>
  <si>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</si>
  <si>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</si>
  <si>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</si>
  <si>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</si>
  <si>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</si>
  <si>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</si>
  <si>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</si>
  <si>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</si>
  <si>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</si>
  <si>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</si>
  <si>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</si>
  <si>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</si>
  <si>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</si>
  <si>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</si>
  <si>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</si>
  <si>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</si>
  <si>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</si>
  <si>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</si>
  <si>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</si>
  <si>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</si>
  <si>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</si>
  <si>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</si>
  <si>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</si>
  <si>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</si>
  <si>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</si>
  <si>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</si>
  <si>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</si>
  <si>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</si>
  <si>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</si>
  <si>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</si>
  <si>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</si>
  <si>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</si>
  <si>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</si>
  <si>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</si>
  <si>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</si>
  <si>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</si>
  <si>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</si>
  <si>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</si>
  <si>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</si>
  <si>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</si>
  <si>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</si>
  <si>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</si>
  <si>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</si>
  <si>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</si>
  <si>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</si>
  <si>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</si>
  <si>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</si>
  <si>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</si>
  <si>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</si>
  <si>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</si>
  <si>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</si>
  <si>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</si>
  <si>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</si>
  <si>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</si>
  <si>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</si>
  <si>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</si>
  <si>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</si>
  <si>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</si>
  <si>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</si>
  <si>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</si>
  <si>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</si>
  <si>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</si>
  <si>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</si>
  <si>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</si>
  <si>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</si>
  <si>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</si>
  <si>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</si>
  <si>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</si>
  <si>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</si>
  <si>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</si>
  <si>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</si>
  <si>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</si>
  <si>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</si>
  <si>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</si>
  <si>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</si>
  <si>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</si>
  <si>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</si>
  <si>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</si>
  <si>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</si>
  <si>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</si>
  <si>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</si>
  <si>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</si>
  <si>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</si>
  <si>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</si>
  <si>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</si>
  <si>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</si>
  <si>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</si>
  <si>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</si>
  <si>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</si>
  <si>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</si>
  <si>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</si>
  <si>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</si>
  <si>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</si>
  <si>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</si>
  <si>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</si>
  <si>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</si>
  <si>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</si>
  <si>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</si>
  <si>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</si>
  <si>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</si>
  <si>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</si>
  <si>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</si>
  <si>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</si>
  <si>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</si>
  <si>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</si>
  <si>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</si>
  <si>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</si>
  <si>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</si>
  <si>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</si>
  <si>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</si>
  <si>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</si>
  <si>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</si>
  <si>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</si>
  <si>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</si>
  <si>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</si>
  <si>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</si>
  <si>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</si>
  <si>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</si>
  <si>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</si>
  <si>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</si>
  <si>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</si>
  <si>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</si>
  <si>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</si>
  <si>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</si>
  <si>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</si>
  <si>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</si>
  <si>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</si>
  <si>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</si>
  <si>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</si>
  <si>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</si>
  <si>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</si>
  <si>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</si>
  <si>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</si>
  <si>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</si>
  <si>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</si>
  <si>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</si>
  <si>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</si>
  <si>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</si>
  <si>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</si>
  <si>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</si>
  <si>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</si>
  <si>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</si>
  <si>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</si>
  <si>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</si>
  <si>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</si>
  <si>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</si>
  <si>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</si>
  <si>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</si>
  <si>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</si>
  <si>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</si>
  <si>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</si>
  <si>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</si>
  <si>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</si>
  <si>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</si>
  <si>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</si>
  <si>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</si>
  <si>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</si>
  <si>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</si>
  <si>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</si>
  <si>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</si>
  <si>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</si>
  <si>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</si>
  <si>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</si>
  <si>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</si>
  <si>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</si>
  <si>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</si>
  <si>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</si>
  <si>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</si>
  <si>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</si>
  <si>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</si>
  <si>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</si>
  <si>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</si>
  <si>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</si>
  <si>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</si>
  <si>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</si>
  <si>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</si>
  <si>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</si>
  <si>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</si>
  <si>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</si>
  <si>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</si>
  <si>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</si>
  <si>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</si>
  <si>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</si>
  <si>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</si>
  <si>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</si>
  <si>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</si>
  <si>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</si>
  <si>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</si>
  <si>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</si>
  <si>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</si>
  <si>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</si>
  <si>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</si>
  <si>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</si>
  <si>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</si>
  <si>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</si>
  <si>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</si>
  <si>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</si>
  <si>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</si>
  <si>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</si>
  <si>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</si>
  <si>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</si>
  <si>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</si>
  <si>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</si>
  <si>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</si>
  <si>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</si>
  <si>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</si>
  <si>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</si>
  <si>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</si>
  <si>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</si>
  <si>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</si>
  <si>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</si>
  <si>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</si>
  <si>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</si>
  <si>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</si>
  <si>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</si>
  <si>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</si>
  <si>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</si>
  <si>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</si>
  <si>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</si>
  <si>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</si>
  <si>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</si>
  <si>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</si>
  <si>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</si>
  <si>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</si>
  <si>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</si>
  <si>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</si>
  <si>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</si>
  <si>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</si>
  <si>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</si>
  <si>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</si>
  <si>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</si>
  <si>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</si>
  <si>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</si>
  <si>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</si>
  <si>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</si>
  <si>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</si>
  <si>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</si>
  <si>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</si>
  <si>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</si>
  <si>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</si>
  <si>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</si>
  <si>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</si>
  <si>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</si>
  <si>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</si>
  <si>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</si>
  <si>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</si>
  <si>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</si>
  <si>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</si>
  <si>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</si>
  <si>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</si>
  <si>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</si>
  <si>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</si>
  <si>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</si>
  <si>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</si>
  <si>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</si>
  <si>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</si>
  <si>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</si>
  <si>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</si>
  <si>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</si>
  <si>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</si>
  <si>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</si>
  <si>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</si>
  <si>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</si>
  <si>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</si>
  <si>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</si>
  <si>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</si>
  <si>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</si>
  <si>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</si>
  <si>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</si>
  <si>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</si>
  <si>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</si>
  <si>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</si>
  <si>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</si>
  <si>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</si>
  <si>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</si>
  <si>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</si>
  <si>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</si>
  <si>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</si>
  <si>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</si>
  <si>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</si>
  <si>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</si>
  <si>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</si>
  <si>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</si>
  <si>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</si>
  <si>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</si>
  <si>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</si>
  <si>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</si>
  <si>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</si>
  <si>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</si>
  <si>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</si>
  <si>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</si>
  <si>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</si>
  <si>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</si>
  <si>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</si>
  <si>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</si>
  <si>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</si>
  <si>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</si>
  <si>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</si>
  <si>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</si>
  <si>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</si>
  <si>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</si>
  <si>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</si>
  <si>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</si>
  <si>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</si>
  <si>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</si>
  <si>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</si>
  <si>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</si>
  <si>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</si>
  <si>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</si>
  <si>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</si>
  <si>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</si>
  <si>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</si>
  <si>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</si>
  <si>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</si>
  <si>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</si>
  <si>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</si>
  <si>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</si>
  <si>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</si>
  <si>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</si>
  <si>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</si>
  <si>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</si>
  <si>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</si>
  <si>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</si>
  <si>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</si>
  <si>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</si>
  <si>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</si>
  <si>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</si>
  <si>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</si>
  <si>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</si>
  <si>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</si>
  <si>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</si>
  <si>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</si>
  <si>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</si>
  <si>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</si>
  <si>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</si>
  <si>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</si>
  <si>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</si>
  <si>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</si>
  <si>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</si>
  <si>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</si>
  <si>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</si>
  <si>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</si>
  <si>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</si>
  <si>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</si>
  <si>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</si>
  <si>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</si>
  <si>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</si>
  <si>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</si>
  <si>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</si>
  <si>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</si>
  <si>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</si>
  <si>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</si>
  <si>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</si>
  <si>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</si>
  <si>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</si>
  <si>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</si>
  <si>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</si>
  <si>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</si>
  <si>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</si>
  <si>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</si>
  <si>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</si>
  <si>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</si>
  <si>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</si>
  <si>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</si>
  <si>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</si>
  <si>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</si>
  <si>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</si>
  <si>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</si>
  <si>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</si>
  <si>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</si>
  <si>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</si>
  <si>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</si>
  <si>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</si>
  <si>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</si>
  <si>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</si>
  <si>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</si>
  <si>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</si>
  <si>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</si>
  <si>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</si>
  <si>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</si>
  <si>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</si>
  <si>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</si>
  <si>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</si>
  <si>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</si>
  <si>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</si>
  <si>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</si>
  <si>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</si>
  <si>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</si>
  <si>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</si>
  <si>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</si>
  <si>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</si>
  <si>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</si>
  <si>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</si>
  <si>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</si>
  <si>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</si>
  <si>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</si>
  <si>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</si>
  <si>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</si>
  <si>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</si>
  <si>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</si>
  <si>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</si>
  <si>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</si>
  <si>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</si>
  <si>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</si>
  <si>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</si>
  <si>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</si>
  <si>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</si>
  <si>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</si>
  <si>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</si>
  <si>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</si>
  <si>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</si>
  <si>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</si>
  <si>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</si>
  <si>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</si>
  <si>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</si>
  <si>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</si>
  <si>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</si>
  <si>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</si>
  <si>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</si>
  <si>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</si>
  <si>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</si>
  <si>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</si>
  <si>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</si>
  <si>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</si>
  <si>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</si>
  <si>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</si>
  <si>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</si>
  <si>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</si>
  <si>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</si>
  <si>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</si>
  <si>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</si>
  <si>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</si>
  <si>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</si>
  <si>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</si>
  <si>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</si>
  <si>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</si>
  <si>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</si>
  <si>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</si>
  <si>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</si>
  <si>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</si>
  <si>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</si>
  <si>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</si>
  <si>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</si>
  <si>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</si>
  <si>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</si>
  <si>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</si>
  <si>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</si>
  <si>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</si>
  <si>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</si>
  <si>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</si>
  <si>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</si>
  <si>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</si>
  <si>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</si>
  <si>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</si>
  <si>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</si>
  <si>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</si>
  <si>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</si>
  <si>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</si>
  <si>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</si>
  <si>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</si>
  <si>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</si>
  <si>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</si>
  <si>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</si>
  <si>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</si>
  <si>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</si>
  <si>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</si>
  <si>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</si>
  <si>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</si>
  <si>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</si>
  <si>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</si>
  <si>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</si>
  <si>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</si>
  <si>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</si>
  <si>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</si>
  <si>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</si>
  <si>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</si>
  <si>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</si>
  <si>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</si>
  <si>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</si>
  <si>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</si>
  <si>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</si>
  <si>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</si>
  <si>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</si>
  <si>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</si>
  <si>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</si>
  <si>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</si>
  <si>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</si>
  <si>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</si>
  <si>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</si>
  <si>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</si>
  <si>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</si>
  <si>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</si>
  <si>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</si>
  <si>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</si>
  <si>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</si>
  <si>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</si>
  <si>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</si>
  <si>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</si>
  <si>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</si>
  <si>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</si>
  <si>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</si>
  <si>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</si>
  <si>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</si>
  <si>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</si>
  <si>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</si>
  <si>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</si>
  <si>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</si>
  <si>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</si>
  <si>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</si>
  <si>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</si>
  <si>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</si>
  <si>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</si>
  <si>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</si>
  <si>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</si>
  <si>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</si>
  <si>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</si>
  <si>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</si>
  <si>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</si>
  <si>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</si>
  <si>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</si>
  <si>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</si>
  <si>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</si>
  <si>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</si>
  <si>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</si>
  <si>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</si>
  <si>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</si>
  <si>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</si>
  <si>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</si>
  <si>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</si>
  <si>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</si>
  <si>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</si>
  <si>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</si>
  <si>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</si>
  <si>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</si>
  <si>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</si>
  <si>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</si>
  <si>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</si>
  <si>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</si>
  <si>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</si>
  <si>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</si>
  <si>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</si>
  <si>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</si>
  <si>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</si>
  <si>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</si>
  <si>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</si>
  <si>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</si>
  <si>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</si>
  <si>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</si>
  <si>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</si>
  <si>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</si>
  <si>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</si>
  <si>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</si>
  <si>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</si>
  <si>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</si>
  <si>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</si>
  <si>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</si>
  <si>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</si>
  <si>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</si>
  <si>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</si>
  <si>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</si>
  <si>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</si>
  <si>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</si>
  <si>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</si>
  <si>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</si>
  <si>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</si>
  <si>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</si>
  <si>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</si>
  <si>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</si>
  <si>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</si>
  <si>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</si>
  <si>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</si>
  <si>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</si>
  <si>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</si>
  <si>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</si>
  <si>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</si>
  <si>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</si>
  <si>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</si>
  <si>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</si>
  <si>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</si>
  <si>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</si>
  <si>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</si>
  <si>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</si>
  <si>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</si>
  <si>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</si>
  <si>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</si>
  <si>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</si>
  <si>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</si>
  <si>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</si>
  <si>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</si>
  <si>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</si>
  <si>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</si>
  <si>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</si>
  <si>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</si>
  <si>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</si>
  <si>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</si>
  <si>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</si>
  <si>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</si>
  <si>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</si>
  <si>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</si>
  <si>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</si>
  <si>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</si>
  <si>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</si>
  <si>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</si>
  <si>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</si>
  <si>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</si>
  <si>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</si>
  <si>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</si>
  <si>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</si>
  <si>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</si>
  <si>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</si>
  <si>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</si>
  <si>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</si>
  <si>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</si>
  <si>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</si>
  <si>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</si>
  <si>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</si>
  <si>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</si>
  <si>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</si>
  <si>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</si>
  <si>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</si>
  <si>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</si>
  <si>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</si>
  <si>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</si>
  <si>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</si>
  <si>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</si>
  <si>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</si>
  <si>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</si>
  <si>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</si>
  <si>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</si>
  <si>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</si>
  <si>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</si>
  <si>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</si>
  <si>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</si>
  <si>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</si>
  <si>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</si>
  <si>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</si>
  <si>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</si>
  <si>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</si>
  <si>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</si>
  <si>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</si>
  <si>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</si>
  <si>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</si>
  <si>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</si>
  <si>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</si>
  <si>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</si>
  <si>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</si>
  <si>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</si>
  <si>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</si>
  <si>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</si>
  <si>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</si>
  <si>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</si>
  <si>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</si>
  <si>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</si>
  <si>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</si>
  <si>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</si>
  <si>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</si>
  <si>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</si>
  <si>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</si>
  <si>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</si>
  <si>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</si>
  <si>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</si>
  <si>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</si>
  <si>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</si>
  <si>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</si>
  <si>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</si>
  <si>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</si>
  <si>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</si>
  <si>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</si>
  <si>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</si>
  <si>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</si>
  <si>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</si>
  <si>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</si>
  <si>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</si>
  <si>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</si>
  <si>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</si>
  <si>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</si>
  <si>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</si>
  <si>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</si>
  <si>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</si>
  <si>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</si>
  <si>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</si>
  <si>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</si>
  <si>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</si>
  <si>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</si>
  <si>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</si>
  <si>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</si>
  <si>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</si>
  <si>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</si>
  <si>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</si>
  <si>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</si>
  <si>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</si>
  <si>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</si>
  <si>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</si>
  <si>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</si>
  <si>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</si>
  <si>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</si>
  <si>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</si>
  <si>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</si>
  <si>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</si>
  <si>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</si>
  <si>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</si>
  <si>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</si>
  <si>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</si>
  <si>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</si>
  <si>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</si>
  <si>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</si>
  <si>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</si>
  <si>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</si>
  <si>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</si>
  <si>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</si>
  <si>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</si>
  <si>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</si>
  <si>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</si>
  <si>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</si>
  <si>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</si>
  <si>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</si>
  <si>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</si>
  <si>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</si>
  <si>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</si>
  <si>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</si>
  <si>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</si>
  <si>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</si>
  <si>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</si>
  <si>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</si>
  <si>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</si>
  <si>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</si>
  <si>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</si>
  <si>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</si>
  <si>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</si>
  <si>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</si>
  <si>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</si>
  <si>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</si>
  <si>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</si>
  <si>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</si>
  <si>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</si>
  <si>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</si>
  <si>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</si>
  <si>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</si>
  <si>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</si>
  <si>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</si>
  <si>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</si>
  <si>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</si>
  <si>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</si>
  <si>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</si>
  <si>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</si>
  <si>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</si>
  <si>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</si>
  <si>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</si>
  <si>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</si>
  <si>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</si>
  <si>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</si>
  <si>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</si>
  <si>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</si>
  <si>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</si>
  <si>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</si>
  <si>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</si>
  <si>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</si>
  <si>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</si>
  <si>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</si>
  <si>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</si>
  <si>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</si>
  <si>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</si>
  <si>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</si>
  <si>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</si>
  <si>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</si>
  <si>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</si>
  <si>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</si>
  <si>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</si>
  <si>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</si>
  <si>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</si>
  <si>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</si>
  <si>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</si>
  <si>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</si>
  <si>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</si>
  <si>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</si>
  <si>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</si>
  <si>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</si>
  <si>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</si>
  <si>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</si>
  <si>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</si>
  <si>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</si>
  <si>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</si>
  <si>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</si>
  <si>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</si>
  <si>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</si>
  <si>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</si>
  <si>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</si>
  <si>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</si>
  <si>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</si>
  <si>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</si>
  <si>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</si>
  <si>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</si>
  <si>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</si>
  <si>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</si>
  <si>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</si>
  <si>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</si>
  <si>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</si>
  <si>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</si>
  <si>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</si>
  <si>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</si>
  <si>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</si>
  <si>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</si>
  <si>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</si>
  <si>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</si>
  <si>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</si>
  <si>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</si>
  <si>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</si>
  <si>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</si>
  <si>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</si>
  <si>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</si>
  <si>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</si>
  <si>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</si>
  <si>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</si>
  <si>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</si>
  <si>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</si>
  <si>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</si>
  <si>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</si>
  <si>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</si>
  <si>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</si>
  <si>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</si>
  <si>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</si>
  <si>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</si>
  <si>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</si>
  <si>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</si>
  <si>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</si>
  <si>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</si>
  <si>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</si>
  <si>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</si>
  <si>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</si>
  <si>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</si>
  <si>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</si>
  <si>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</si>
  <si>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</si>
  <si>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</si>
  <si>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</si>
  <si>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</si>
  <si>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</si>
  <si>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</si>
  <si>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</si>
  <si>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</si>
  <si>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</si>
  <si>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</si>
  <si>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</si>
  <si>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</si>
  <si>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</si>
  <si>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</si>
  <si>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</si>
  <si>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</si>
  <si>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</si>
  <si>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</si>
  <si>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</si>
  <si>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</si>
  <si>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</si>
  <si>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</si>
  <si>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</si>
  <si>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</si>
  <si>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</si>
  <si>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</si>
  <si>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</si>
  <si>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</si>
  <si>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</si>
  <si>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</si>
  <si>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</si>
  <si>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</si>
  <si>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</si>
  <si>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</si>
  <si>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</si>
  <si>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</si>
  <si>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</si>
  <si>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</si>
  <si>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</si>
  <si>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</si>
  <si>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</si>
  <si>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</si>
  <si>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</si>
  <si>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</si>
  <si>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</si>
  <si>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</si>
  <si>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</si>
  <si>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</si>
  <si>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</si>
  <si>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</si>
  <si>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</si>
  <si>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</si>
  <si>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</si>
  <si>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</si>
  <si>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</si>
  <si>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</si>
  <si>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</si>
  <si>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</si>
  <si>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</si>
  <si>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</si>
  <si>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</si>
  <si>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</si>
  <si>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</si>
  <si>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</si>
  <si>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</si>
  <si>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</si>
  <si>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</si>
  <si>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</si>
  <si>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</si>
  <si>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</si>
  <si>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</si>
  <si>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</si>
  <si>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</si>
  <si>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</si>
  <si>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</si>
  <si>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</si>
  <si>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</si>
  <si>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</si>
  <si>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</si>
  <si>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</si>
  <si>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</si>
  <si>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</si>
  <si>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</si>
  <si>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</si>
  <si>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</si>
  <si>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</si>
  <si>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</si>
  <si>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</si>
  <si>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</si>
  <si>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</si>
  <si>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</si>
  <si>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</si>
  <si>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</si>
  <si>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</si>
  <si>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</si>
  <si>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</si>
  <si>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</si>
  <si>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</si>
  <si>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</si>
  <si>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</si>
  <si>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</si>
  <si>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</si>
  <si>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</si>
  <si>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</si>
  <si>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</si>
  <si>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</si>
  <si>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</si>
  <si>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</si>
  <si>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</si>
  <si>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</si>
  <si>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</si>
  <si>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</si>
  <si>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</si>
  <si>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</si>
  <si>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</si>
  <si>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</si>
  <si>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</si>
  <si>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</si>
  <si>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</si>
  <si>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</si>
  <si>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</si>
  <si>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</si>
  <si>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</si>
  <si>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</si>
  <si>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</si>
  <si>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</si>
  <si>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</si>
  <si>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</si>
  <si>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</si>
  <si>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</si>
  <si>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</si>
  <si>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</si>
  <si>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</si>
  <si>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</si>
  <si>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</si>
  <si>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</si>
  <si>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</si>
  <si>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</si>
  <si>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</si>
  <si>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</si>
  <si>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</si>
  <si>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</si>
  <si>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</si>
  <si>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</si>
  <si>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</si>
  <si>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</si>
  <si>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</si>
  <si>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</si>
  <si>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</si>
  <si>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</si>
  <si>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</si>
  <si>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</si>
  <si>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</si>
  <si>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</si>
  <si>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</si>
  <si>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</si>
  <si>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</si>
  <si>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</si>
  <si>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</si>
  <si>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</si>
  <si>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</si>
  <si>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</si>
  <si>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</si>
  <si>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</si>
  <si>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</si>
  <si>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</si>
  <si>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</si>
  <si>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</si>
  <si>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</si>
  <si>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</si>
  <si>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</si>
  <si>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</si>
  <si>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</si>
  <si>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</si>
  <si>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</si>
  <si>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</si>
  <si>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</si>
  <si>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</si>
  <si>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</si>
  <si>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</si>
  <si>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</si>
  <si>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</si>
  <si>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</si>
  <si>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</si>
  <si>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</si>
  <si>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</si>
  <si>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</si>
  <si>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</si>
  <si>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</si>
  <si>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</si>
  <si>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</si>
  <si>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</si>
  <si>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</si>
  <si>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</si>
  <si>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</si>
  <si>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</si>
  <si>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</si>
  <si>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</si>
  <si>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</si>
  <si>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</si>
  <si>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</si>
  <si>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</si>
  <si>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</si>
  <si>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</si>
  <si>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</si>
  <si>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</si>
  <si>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</si>
  <si>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</si>
  <si>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</si>
  <si>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</si>
  <si>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</si>
  <si>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</si>
  <si>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</si>
  <si>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</si>
  <si>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</si>
  <si>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</si>
  <si>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</si>
  <si>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</si>
  <si>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</si>
  <si>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</si>
  <si>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</si>
  <si>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</si>
  <si>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</si>
  <si>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</si>
  <si>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</si>
  <si>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</si>
  <si>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</si>
  <si>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</si>
  <si>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</si>
  <si>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</si>
  <si>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</si>
  <si>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</si>
  <si>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</si>
  <si>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</si>
  <si>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</si>
  <si>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</si>
  <si>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</si>
  <si>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</si>
  <si>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</si>
  <si>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</si>
  <si>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</si>
  <si>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</si>
  <si>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</si>
  <si>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</si>
  <si>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</si>
  <si>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</si>
  <si>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</si>
  <si>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</si>
  <si>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</si>
  <si>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</si>
  <si>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</si>
  <si>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</si>
  <si>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</si>
  <si>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</si>
  <si>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</si>
  <si>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</si>
  <si>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</si>
  <si>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</si>
  <si>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</si>
  <si>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</si>
  <si>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</si>
  <si>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</si>
  <si>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</si>
  <si>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</si>
  <si>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</si>
  <si>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</si>
  <si>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</si>
  <si>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</si>
  <si>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</si>
  <si>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</si>
  <si>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</si>
  <si>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</si>
  <si>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</si>
  <si>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</si>
  <si>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</si>
  <si>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</si>
  <si>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</si>
  <si>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</si>
  <si>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</si>
  <si>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</si>
  <si>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</si>
  <si>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</si>
  <si>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</si>
  <si>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</si>
  <si>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</si>
  <si>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</si>
  <si>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</si>
  <si>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</si>
  <si>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</si>
  <si>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</si>
  <si>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</si>
  <si>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</si>
  <si>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</si>
  <si>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</si>
  <si>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</si>
  <si>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</si>
  <si>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</si>
  <si>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</si>
  <si>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</si>
  <si>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</si>
  <si>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</si>
  <si>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</si>
  <si>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</si>
  <si>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</si>
  <si>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</si>
  <si>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</si>
  <si>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</si>
  <si>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</si>
  <si>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</si>
  <si>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</si>
  <si>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</si>
  <si>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</si>
  <si>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</si>
  <si>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</si>
  <si>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</si>
  <si>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</si>
  <si>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</si>
  <si>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</si>
  <si>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</si>
  <si>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</si>
  <si>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</si>
  <si>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</si>
  <si>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</si>
  <si>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</si>
  <si>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</si>
  <si>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</si>
  <si>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</si>
  <si>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</si>
  <si>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</si>
  <si>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</si>
  <si>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</si>
  <si>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</si>
  <si>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</si>
  <si>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</si>
  <si>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</si>
  <si>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</si>
  <si>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</si>
  <si>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</si>
  <si>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</si>
  <si>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</si>
  <si>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</si>
  <si>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</si>
  <si>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</si>
  <si>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</si>
  <si>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</si>
  <si>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</si>
  <si>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</si>
  <si>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</si>
  <si>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</si>
  <si>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</si>
  <si>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</si>
  <si>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</si>
  <si>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</si>
  <si>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</si>
  <si>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</si>
  <si>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</si>
  <si>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</si>
  <si>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</si>
  <si>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</si>
  <si>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</si>
  <si>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</si>
  <si>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</si>
  <si>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</si>
  <si>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</si>
  <si>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</si>
  <si>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</si>
  <si>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</si>
  <si>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</si>
  <si>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</si>
  <si>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</si>
  <si>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</si>
  <si>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</si>
  <si>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</si>
  <si>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</si>
  <si>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</si>
  <si>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</si>
  <si>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</si>
  <si>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</si>
  <si>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</si>
  <si>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</si>
  <si>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</si>
  <si>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</si>
  <si>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</si>
  <si>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</si>
  <si>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</si>
  <si>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</si>
  <si>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</si>
  <si>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</si>
  <si>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</si>
  <si>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</si>
  <si>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</si>
  <si>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</si>
  <si>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</si>
  <si>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</si>
  <si>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</si>
  <si>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</si>
  <si>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</si>
  <si>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</si>
  <si>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</si>
  <si>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</si>
  <si>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</si>
  <si>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</si>
  <si>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</si>
  <si>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</si>
  <si>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</si>
  <si>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</si>
  <si>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</si>
  <si>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</si>
  <si>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</si>
  <si>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</si>
  <si>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</si>
  <si>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</si>
  <si>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</si>
  <si>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</si>
  <si>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</si>
  <si>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</si>
  <si>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</si>
  <si>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</si>
  <si>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</si>
  <si>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</si>
  <si>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</si>
  <si>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</si>
  <si>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</si>
  <si>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</si>
  <si>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</si>
  <si>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</si>
  <si>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</si>
  <si>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</si>
  <si>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</si>
  <si>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</si>
  <si>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</si>
  <si>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</si>
  <si>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</si>
  <si>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</si>
  <si>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</si>
  <si>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</si>
  <si>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</si>
  <si>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</si>
  <si>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</si>
  <si>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</si>
  <si>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</si>
  <si>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</si>
  <si>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</si>
  <si>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</si>
  <si>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</si>
  <si>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</si>
  <si>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</si>
  <si>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</si>
  <si>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</si>
  <si>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</si>
  <si>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</si>
  <si>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</si>
  <si>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</si>
  <si>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</si>
  <si>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</si>
  <si>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</si>
  <si>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</si>
  <si>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</si>
  <si>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</si>
  <si>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</si>
  <si>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</si>
  <si>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</si>
  <si>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</si>
  <si>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</si>
  <si>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</si>
  <si>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</si>
  <si>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</si>
  <si>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</si>
  <si>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</si>
  <si>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</si>
  <si>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</si>
  <si>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</si>
  <si>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</si>
  <si>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</si>
  <si>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</si>
  <si>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</si>
  <si>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</si>
  <si>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</si>
  <si>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</si>
  <si>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</si>
  <si>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</si>
  <si>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</si>
  <si>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</si>
  <si>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</si>
  <si>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</si>
  <si>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</si>
  <si>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</si>
  <si>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</si>
  <si>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</si>
  <si>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</si>
  <si>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</si>
  <si>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</si>
  <si>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</si>
  <si>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</si>
  <si>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</si>
  <si>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</si>
  <si>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</si>
  <si>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</si>
  <si>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</si>
  <si>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</si>
  <si>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</si>
  <si>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</si>
  <si>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</si>
  <si>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</si>
  <si>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</si>
  <si>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</si>
  <si>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</si>
  <si>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</si>
  <si>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</si>
  <si>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</si>
  <si>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</si>
  <si>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</si>
  <si>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</si>
  <si>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</si>
  <si>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</si>
  <si>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</si>
  <si>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</si>
  <si>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</si>
  <si>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</si>
  <si>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</si>
  <si>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</si>
  <si>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</si>
  <si>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</si>
  <si>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</si>
  <si>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</si>
  <si>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</si>
  <si>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</si>
  <si>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</si>
  <si>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</si>
  <si>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</si>
  <si>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</si>
  <si>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</si>
  <si>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</si>
  <si>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</si>
  <si>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</si>
  <si>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</si>
  <si>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</si>
  <si>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</si>
  <si>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</si>
  <si>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</si>
  <si>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</si>
  <si>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</si>
  <si>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</si>
  <si>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</si>
  <si>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</si>
  <si>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</si>
  <si>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</si>
  <si>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</si>
  <si>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</si>
  <si>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</si>
  <si>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</si>
  <si>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</si>
  <si>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</si>
  <si>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</si>
  <si>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</si>
  <si>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</si>
  <si>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</si>
  <si>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</si>
  <si>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</si>
  <si>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</si>
  <si>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</si>
  <si>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</si>
  <si>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</si>
  <si>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</si>
  <si>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</si>
  <si>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</si>
  <si>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</si>
  <si>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</si>
  <si>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</si>
  <si>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</si>
  <si>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</si>
  <si>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</si>
  <si>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</si>
  <si>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</si>
  <si>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</si>
  <si>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</si>
  <si>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</si>
  <si>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</si>
  <si>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</si>
  <si>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</si>
  <si>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</si>
  <si>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</si>
  <si>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</si>
  <si>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</si>
  <si>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</si>
  <si>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</si>
  <si>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</si>
  <si>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</si>
  <si>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</si>
  <si>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</si>
  <si>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</si>
  <si>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</si>
  <si>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</si>
  <si>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</si>
  <si>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</si>
  <si>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</si>
  <si>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</si>
  <si>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</si>
  <si>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</si>
  <si>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</si>
  <si>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</si>
  <si>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</si>
  <si>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</si>
  <si>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</si>
  <si>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</si>
  <si>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</si>
  <si>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</si>
  <si>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</si>
  <si>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</si>
  <si>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</si>
  <si>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</si>
  <si>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</si>
  <si>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</si>
  <si>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</si>
  <si>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</si>
  <si>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</si>
  <si>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</si>
  <si>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</si>
  <si>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</si>
  <si>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</si>
  <si>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</si>
  <si>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</si>
  <si>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</si>
  <si>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</si>
  <si>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</si>
  <si>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</si>
  <si>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</si>
  <si>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</si>
  <si>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</si>
  <si>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</si>
  <si>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</si>
  <si>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</si>
  <si>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</si>
  <si>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</si>
  <si>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</si>
  <si>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</si>
  <si>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</si>
  <si>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</si>
  <si>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</si>
  <si>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</si>
  <si>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</si>
  <si>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</si>
  <si>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</si>
  <si>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</si>
  <si>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</si>
  <si>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</si>
  <si>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</si>
  <si>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</si>
  <si>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</si>
  <si>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</si>
  <si>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</si>
  <si>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</si>
  <si>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</si>
  <si>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</si>
  <si>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</si>
  <si>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</si>
  <si>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</si>
  <si>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</si>
  <si>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</si>
  <si>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</si>
  <si>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</si>
  <si>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</si>
  <si>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</si>
  <si>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</si>
  <si>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</si>
  <si>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</si>
  <si>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</si>
  <si>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</si>
  <si>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</si>
  <si>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</si>
  <si>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</si>
  <si>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</si>
  <si>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</si>
  <si>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</si>
  <si>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</si>
  <si>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</si>
  <si>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</si>
  <si>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</si>
  <si>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</si>
  <si>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</si>
  <si>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</si>
  <si>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</si>
  <si>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</si>
  <si>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</si>
  <si>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</si>
  <si>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</si>
  <si>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</si>
  <si>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</si>
  <si>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</si>
  <si>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</si>
  <si>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</si>
  <si>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</si>
  <si>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</si>
  <si>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</si>
  <si>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</si>
  <si>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</si>
  <si>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</si>
  <si>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</si>
  <si>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</si>
  <si>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</si>
  <si>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</si>
  <si>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</si>
  <si>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</si>
  <si>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</si>
  <si>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</si>
  <si>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</si>
  <si>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</si>
  <si>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</si>
  <si>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</si>
  <si>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</si>
  <si>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</si>
  <si>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</si>
  <si>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</si>
  <si>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</si>
  <si>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</si>
  <si>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</si>
  <si>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</si>
  <si>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</si>
  <si>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</si>
  <si>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</si>
  <si>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</si>
  <si>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</si>
  <si>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</si>
  <si>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</si>
  <si>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</si>
  <si>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</si>
  <si>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</si>
  <si>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</si>
  <si>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</si>
  <si>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</si>
  <si>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</si>
  <si>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</si>
  <si>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</si>
  <si>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</si>
  <si>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</si>
  <si>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</si>
  <si>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</si>
  <si>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</si>
  <si>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</si>
  <si>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</si>
  <si>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</si>
  <si>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</si>
  <si>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</si>
  <si>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</si>
  <si>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</si>
  <si>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</si>
  <si>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</si>
  <si>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</si>
  <si>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</si>
  <si>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</si>
  <si>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</si>
  <si>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</si>
  <si>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</si>
  <si>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</si>
  <si>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</si>
  <si>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</si>
  <si>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</si>
  <si>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</si>
  <si>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</si>
  <si>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</si>
  <si>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</si>
  <si>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</si>
  <si>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</si>
  <si>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</si>
  <si>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</si>
  <si>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</si>
  <si>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</si>
  <si>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</si>
  <si>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</si>
  <si>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</si>
  <si>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</si>
  <si>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</si>
  <si>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</si>
  <si>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</si>
  <si>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</si>
  <si>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</si>
  <si>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</si>
  <si>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</si>
  <si>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</si>
  <si>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</si>
  <si>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</si>
  <si>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</si>
  <si>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</si>
  <si>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</si>
  <si>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</si>
  <si>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</si>
  <si>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</si>
  <si>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</si>
  <si>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</si>
  <si>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</si>
  <si>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</si>
  <si>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</si>
  <si>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</si>
  <si>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</si>
  <si>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</si>
  <si>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</si>
  <si>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</si>
  <si>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</si>
  <si>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</si>
  <si>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</si>
  <si>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</si>
  <si>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</si>
  <si>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</si>
  <si>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</si>
  <si>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</si>
  <si>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</si>
  <si>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</si>
  <si>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</si>
  <si>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</si>
  <si>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</si>
  <si>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</si>
  <si>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</si>
  <si>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</si>
  <si>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</si>
  <si>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</si>
  <si>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</si>
  <si>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</si>
  <si>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</si>
  <si>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</si>
  <si>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</si>
  <si>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</si>
  <si>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</si>
  <si>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</si>
  <si>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</si>
  <si>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</si>
  <si>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</si>
  <si>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</si>
  <si>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</si>
  <si>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</si>
  <si>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</si>
  <si>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</si>
  <si>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</si>
  <si>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</si>
  <si>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</si>
  <si>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</si>
  <si>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</si>
  <si>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</si>
  <si>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</si>
  <si>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</si>
  <si>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</si>
  <si>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</si>
  <si>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</si>
  <si>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</si>
  <si>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</si>
  <si>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</si>
  <si>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</si>
  <si>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</si>
  <si>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</si>
  <si>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</si>
  <si>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</si>
  <si>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</si>
  <si>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</si>
  <si>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</si>
  <si>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</si>
  <si>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</si>
  <si>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</si>
  <si>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</si>
  <si>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</si>
  <si>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</si>
  <si>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</si>
  <si>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</si>
  <si>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</si>
  <si>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</si>
  <si>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</si>
  <si>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</si>
  <si>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</si>
  <si>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</si>
  <si>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</si>
  <si>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</si>
  <si>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</si>
  <si>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</si>
  <si>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</si>
  <si>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</si>
  <si>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</si>
  <si>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</si>
  <si>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</si>
  <si>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</si>
  <si>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</si>
  <si>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</si>
  <si>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</si>
  <si>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</si>
  <si>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</si>
  <si>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</si>
  <si>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</si>
  <si>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</si>
  <si>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</si>
  <si>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</si>
  <si>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</si>
  <si>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</si>
  <si>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</si>
  <si>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</si>
  <si>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</si>
  <si>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</si>
  <si>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</si>
  <si>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</si>
  <si>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</si>
  <si>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</si>
  <si>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</si>
  <si>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</si>
  <si>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</si>
  <si>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</si>
  <si>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</si>
  <si>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</si>
  <si>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</si>
  <si>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</si>
  <si>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</si>
  <si>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</si>
  <si>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</si>
  <si>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</si>
  <si>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</si>
  <si>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</si>
  <si>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</si>
  <si>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</si>
  <si>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</si>
  <si>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</si>
  <si>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</si>
  <si>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</si>
  <si>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</si>
  <si>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</si>
  <si>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</si>
  <si>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</si>
  <si>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</si>
  <si>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</si>
  <si>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</si>
  <si>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</si>
  <si>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</si>
  <si>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</si>
  <si>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</si>
  <si>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</si>
  <si>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</si>
  <si>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</si>
  <si>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</si>
  <si>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</si>
  <si>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</si>
  <si>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</si>
  <si>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</si>
  <si>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</si>
  <si>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</si>
  <si>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</si>
  <si>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</si>
  <si>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</si>
  <si>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</si>
  <si>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</si>
  <si>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</si>
  <si>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</si>
  <si>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</si>
  <si>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</si>
  <si>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</si>
  <si>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</si>
  <si>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</si>
  <si>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</si>
  <si>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</si>
  <si>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</si>
  <si>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</si>
  <si>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</si>
  <si>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</si>
  <si>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</si>
  <si>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</si>
  <si>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</si>
  <si>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</si>
  <si>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</si>
  <si>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</si>
  <si>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</si>
  <si>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</si>
  <si>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</si>
  <si>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</si>
  <si>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</si>
  <si>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</si>
  <si>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</si>
  <si>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</si>
  <si>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</si>
  <si>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</si>
  <si>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</si>
  <si>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</si>
  <si>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</si>
  <si>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</si>
  <si>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</si>
  <si>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</si>
  <si>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</si>
  <si>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</si>
  <si>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</si>
  <si>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</si>
  <si>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</si>
  <si>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</si>
  <si>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</si>
  <si>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</si>
  <si>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</si>
  <si>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</si>
  <si>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</si>
  <si>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</si>
  <si>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</si>
  <si>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</si>
  <si>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</si>
  <si>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</si>
  <si>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</si>
  <si>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</si>
  <si>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</si>
  <si>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</si>
  <si>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</si>
  <si>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</si>
  <si>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</si>
  <si>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</si>
  <si>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</si>
  <si>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</si>
  <si>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</si>
  <si>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</si>
  <si>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</si>
  <si>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</si>
  <si>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</si>
  <si>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</si>
  <si>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</si>
  <si>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</si>
  <si>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</si>
  <si>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</si>
  <si>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</si>
  <si>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</si>
  <si>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</si>
  <si>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</si>
  <si>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</si>
  <si>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</si>
  <si>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</si>
  <si>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</si>
  <si>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</si>
  <si>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</si>
  <si>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</si>
  <si>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</si>
  <si>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</si>
  <si>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</si>
  <si>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</si>
  <si>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</si>
  <si>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</si>
  <si>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</si>
  <si>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</si>
  <si>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</si>
  <si>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</si>
  <si>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</si>
  <si>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</si>
  <si>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</si>
  <si>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</si>
  <si>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</si>
  <si>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</si>
  <si>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</si>
  <si>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</si>
  <si>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</si>
  <si>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</si>
  <si>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</si>
  <si>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</si>
  <si>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</si>
  <si>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</si>
  <si>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</si>
  <si>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</si>
  <si>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</si>
  <si>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</si>
  <si>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</si>
  <si>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</si>
  <si>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</si>
  <si>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</si>
  <si>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</si>
  <si>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</si>
  <si>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</si>
  <si>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</si>
  <si>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</si>
  <si>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</si>
  <si>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</si>
  <si>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</si>
  <si>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</si>
  <si>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</si>
  <si>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</si>
  <si>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</si>
  <si>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</si>
  <si>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</si>
  <si>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</si>
  <si>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</si>
  <si>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</si>
  <si>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</si>
  <si>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</si>
  <si>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</si>
  <si>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</si>
  <si>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</si>
  <si>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</si>
  <si>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</si>
  <si>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</si>
  <si>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</si>
  <si>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</si>
  <si>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</si>
  <si>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</si>
  <si>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</si>
  <si>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</si>
  <si>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</si>
  <si>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</si>
  <si>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</si>
  <si>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</si>
  <si>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</si>
  <si>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</si>
  <si>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</si>
  <si>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</si>
  <si>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</si>
  <si>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</si>
  <si>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</si>
  <si>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</si>
  <si>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</si>
  <si>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</si>
  <si>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</si>
  <si>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</si>
  <si>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</si>
  <si>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</si>
  <si>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</si>
  <si>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</si>
  <si>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</si>
  <si>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</si>
  <si>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</si>
  <si>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</si>
  <si>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</si>
  <si>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</si>
  <si>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</si>
  <si>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</si>
  <si>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</si>
  <si>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</si>
  <si>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</si>
  <si>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</si>
  <si>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</si>
  <si>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</si>
  <si>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</si>
  <si>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</si>
  <si>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</si>
  <si>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</si>
  <si>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</si>
  <si>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</si>
  <si>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</si>
  <si>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</si>
  <si>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</si>
  <si>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</si>
  <si>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</si>
  <si>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</si>
  <si>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</si>
  <si>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</si>
  <si>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</si>
  <si>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</si>
  <si>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</si>
  <si>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</si>
  <si>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</si>
  <si>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</si>
  <si>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</si>
  <si>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</si>
  <si>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</si>
  <si>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</si>
  <si>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</si>
  <si>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</si>
  <si>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</si>
  <si>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</si>
  <si>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</si>
  <si>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</si>
  <si>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</si>
  <si>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</si>
  <si>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</si>
  <si>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</si>
  <si>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</si>
  <si>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</si>
  <si>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</si>
  <si>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</si>
  <si>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</si>
  <si>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</si>
  <si>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</si>
  <si>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</si>
  <si>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</si>
  <si>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</si>
  <si>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</si>
  <si>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</si>
  <si>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</si>
  <si>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</si>
  <si>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</si>
  <si>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</si>
  <si>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</si>
  <si>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</si>
  <si>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</si>
  <si>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</si>
  <si>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</si>
  <si>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</si>
  <si>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</si>
  <si>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</si>
  <si>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</si>
  <si>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</si>
  <si>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</si>
  <si>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</si>
  <si>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</si>
  <si>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</si>
  <si>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</si>
  <si>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</si>
  <si>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</si>
  <si>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</si>
  <si>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</si>
  <si>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</si>
  <si>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</si>
  <si>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</si>
  <si>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</si>
  <si>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</si>
  <si>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</si>
  <si>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</si>
  <si>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</si>
  <si>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</si>
  <si>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</si>
  <si>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</si>
  <si>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</si>
  <si>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</si>
  <si>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</si>
  <si>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</si>
  <si>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</si>
  <si>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</si>
  <si>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</si>
  <si>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</si>
  <si>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</si>
  <si>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</si>
  <si>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</si>
  <si>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</si>
  <si>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</si>
  <si>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</si>
  <si>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</si>
  <si>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</si>
  <si>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</si>
  <si>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</si>
  <si>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</si>
  <si>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</si>
  <si>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</si>
  <si>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</si>
  <si>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</si>
  <si>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</si>
  <si>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</si>
  <si>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</si>
  <si>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</si>
  <si>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</si>
  <si>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</si>
  <si>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</si>
  <si>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</si>
  <si>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</si>
  <si>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</si>
  <si>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</si>
  <si>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</si>
  <si>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</si>
  <si>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</si>
  <si>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</si>
  <si>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</si>
  <si>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</si>
  <si>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</si>
  <si>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</si>
  <si>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</si>
  <si>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</si>
  <si>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</si>
  <si>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</si>
  <si>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</si>
  <si>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</si>
  <si>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</si>
  <si>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</si>
  <si>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</si>
  <si>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</si>
  <si>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</si>
  <si>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</si>
  <si>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</si>
  <si>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</si>
  <si>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</si>
  <si>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</si>
  <si>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</si>
  <si>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</si>
  <si>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</si>
  <si>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</si>
  <si>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</si>
  <si>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</si>
  <si>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</si>
  <si>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</si>
  <si>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</si>
  <si>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</si>
  <si>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</si>
  <si>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</si>
  <si>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</si>
  <si>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</si>
  <si>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</si>
  <si>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</si>
  <si>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</si>
  <si>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</si>
  <si>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</si>
  <si>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</si>
  <si>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</si>
  <si>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</si>
  <si>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</si>
  <si>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</si>
  <si>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</si>
  <si>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</si>
  <si>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</si>
  <si>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</si>
  <si>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</si>
  <si>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</si>
  <si>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</si>
  <si>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</si>
  <si>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</si>
  <si>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</si>
  <si>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</si>
  <si>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</si>
  <si>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</si>
  <si>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</si>
  <si>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</si>
  <si>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</si>
  <si>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</si>
  <si>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</si>
  <si>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</si>
  <si>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</si>
  <si>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</si>
  <si>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</si>
  <si>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</si>
  <si>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</si>
  <si>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</si>
  <si>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</si>
  <si>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</si>
  <si>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</si>
  <si>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</si>
  <si>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</si>
  <si>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</si>
  <si>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</si>
  <si>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</si>
  <si>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</si>
  <si>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</si>
  <si>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</si>
  <si>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</si>
  <si>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</si>
  <si>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</si>
  <si>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</si>
  <si>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</si>
  <si>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</si>
  <si>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</si>
  <si>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</si>
  <si>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</si>
  <si>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</si>
  <si>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</si>
  <si>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</si>
  <si>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</si>
  <si>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</si>
  <si>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</si>
  <si>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</si>
  <si>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</si>
  <si>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</si>
  <si>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</si>
  <si>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</si>
  <si>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</si>
  <si>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</si>
  <si>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</si>
  <si>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</si>
  <si>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</si>
  <si>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</si>
  <si>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</si>
  <si>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</si>
  <si>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</si>
  <si>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</si>
  <si>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</si>
  <si>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</si>
  <si>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</si>
  <si>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</si>
  <si>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</si>
  <si>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</si>
  <si>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</si>
  <si>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</si>
  <si>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</si>
  <si>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</si>
  <si>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</si>
  <si>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</si>
  <si>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</si>
  <si>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</si>
  <si>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</si>
  <si>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</si>
  <si>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</si>
  <si>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</si>
  <si>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</si>
  <si>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</si>
  <si>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</si>
  <si>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</si>
  <si>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</si>
  <si>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</si>
  <si>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</si>
  <si>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</si>
  <si>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</si>
  <si>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</si>
  <si>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</si>
  <si>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</si>
  <si>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</si>
  <si>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</si>
  <si>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</si>
  <si>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</si>
  <si>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</si>
  <si>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</si>
  <si>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</si>
  <si>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</si>
  <si>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</si>
  <si>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</si>
  <si>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</si>
  <si>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</si>
  <si>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</si>
  <si>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</si>
  <si>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</si>
  <si>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</si>
  <si>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</si>
  <si>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</si>
  <si>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</si>
  <si>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</si>
  <si>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</si>
  <si>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</si>
  <si>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</si>
  <si>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</si>
  <si>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</si>
  <si>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</si>
  <si>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</si>
  <si>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</si>
  <si>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</si>
  <si>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</si>
  <si>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</si>
  <si>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</si>
  <si>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</si>
  <si>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</si>
  <si>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</si>
  <si>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</si>
  <si>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</si>
  <si>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</si>
  <si>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</si>
  <si>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</si>
  <si>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</si>
  <si>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</si>
  <si>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</si>
  <si>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</si>
  <si>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</si>
  <si>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</si>
  <si>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</si>
  <si>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</si>
  <si>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</si>
  <si>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</si>
  <si>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</si>
  <si>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</si>
  <si>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</si>
  <si>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</si>
  <si>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</si>
  <si>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</si>
  <si>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</si>
  <si>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</si>
  <si>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</si>
  <si>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</si>
  <si>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</si>
  <si>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</si>
  <si>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</si>
  <si>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</si>
  <si>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</si>
  <si>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</si>
  <si>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</si>
  <si>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</si>
  <si>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</si>
  <si>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</si>
  <si>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</si>
  <si>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</si>
  <si>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</si>
  <si>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</si>
  <si>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</si>
  <si>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</si>
  <si>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</si>
  <si>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</si>
  <si>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</si>
  <si>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</si>
  <si>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</si>
  <si>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</si>
  <si>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</si>
  <si>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</si>
  <si>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</si>
  <si>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</si>
  <si>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</si>
  <si>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</si>
  <si>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</si>
  <si>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</si>
  <si>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</si>
  <si>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</si>
  <si>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</si>
  <si>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</si>
  <si>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</si>
  <si>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</si>
  <si>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</si>
  <si>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</si>
  <si>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</si>
  <si>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</si>
  <si>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</si>
  <si>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</si>
  <si>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</si>
  <si>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</si>
  <si>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</si>
  <si>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</si>
  <si>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</si>
  <si>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</si>
  <si>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</si>
  <si>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</si>
  <si>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</si>
  <si>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</si>
  <si>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</si>
  <si>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</si>
  <si>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</si>
  <si>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</si>
  <si>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</si>
  <si>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</si>
  <si>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</si>
  <si>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</si>
  <si>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</si>
  <si>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</si>
  <si>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</si>
  <si>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</si>
  <si>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</si>
  <si>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</si>
  <si>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</si>
  <si>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</si>
  <si>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</si>
  <si>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</si>
  <si>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</si>
  <si>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</si>
  <si>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</si>
  <si>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</si>
  <si>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</si>
  <si>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</si>
  <si>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</si>
  <si>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</si>
  <si>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</si>
  <si>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</si>
  <si>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</si>
  <si>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</si>
  <si>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</si>
  <si>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</si>
  <si>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</si>
  <si>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</si>
  <si>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</si>
  <si>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</si>
  <si>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</si>
  <si>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</si>
  <si>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</si>
  <si>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</si>
  <si>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</si>
  <si>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</si>
  <si>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</si>
  <si>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</si>
  <si>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</si>
  <si>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</si>
  <si>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</si>
  <si>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</si>
  <si>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</si>
  <si>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</si>
  <si>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</si>
  <si>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</si>
  <si>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</si>
  <si>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</si>
  <si>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</si>
  <si>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</si>
  <si>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</si>
  <si>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</si>
  <si>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</si>
  <si>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</si>
  <si>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</si>
  <si>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</si>
  <si>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</si>
  <si>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</si>
  <si>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</si>
  <si>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</si>
  <si>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</si>
  <si>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</si>
  <si>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</si>
  <si>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</si>
  <si>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</si>
  <si>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</si>
  <si>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</si>
  <si>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</si>
  <si>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</si>
  <si>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</si>
  <si>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</si>
  <si>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</si>
  <si>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</si>
  <si>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</si>
  <si>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</si>
  <si>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</si>
  <si>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</si>
  <si>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</si>
  <si>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</si>
  <si>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</si>
  <si>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</si>
  <si>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</si>
  <si>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</si>
  <si>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</si>
  <si>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</si>
  <si>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</si>
  <si>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</si>
  <si>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</si>
  <si>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</si>
  <si>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</si>
  <si>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</si>
  <si>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</si>
  <si>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</si>
  <si>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</si>
  <si>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</si>
  <si>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</si>
  <si>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</si>
  <si>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</si>
  <si>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</si>
  <si>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</si>
  <si>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</si>
  <si>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</si>
  <si>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</si>
  <si>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</si>
  <si>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</si>
  <si>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</si>
  <si>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</si>
  <si>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</si>
  <si>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</si>
  <si>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</si>
  <si>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</si>
  <si>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</si>
  <si>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</si>
  <si>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</si>
  <si>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</si>
  <si>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</si>
  <si>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</si>
  <si>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</si>
  <si>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</si>
  <si>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</si>
  <si>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</si>
  <si>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</si>
  <si>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</si>
  <si>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</si>
  <si>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</si>
  <si>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</si>
  <si>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</si>
  <si>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</si>
  <si>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</si>
  <si>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</si>
  <si>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</si>
  <si>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</si>
  <si>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</si>
  <si>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</si>
  <si>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</si>
  <si>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</si>
  <si>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</si>
  <si>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</si>
  <si>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</si>
  <si>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</si>
  <si>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</si>
  <si>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</si>
  <si>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</si>
  <si>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</si>
  <si>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</si>
  <si>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</si>
  <si>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</si>
  <si>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</si>
  <si>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</si>
  <si>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</si>
  <si>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</si>
  <si>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</si>
  <si>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</si>
  <si>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</si>
  <si>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</si>
  <si>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</si>
  <si>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</si>
  <si>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</si>
  <si>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</si>
  <si>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</si>
  <si>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</si>
  <si>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</si>
  <si>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</si>
  <si>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</si>
  <si>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</si>
  <si>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</si>
  <si>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</si>
  <si>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</si>
  <si>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</si>
  <si>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</si>
  <si>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</si>
  <si>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</si>
  <si>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</si>
  <si>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</si>
  <si>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</si>
  <si>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</si>
  <si>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</si>
  <si>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</si>
  <si>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</si>
  <si>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</si>
  <si>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</si>
  <si>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</si>
  <si>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</si>
  <si>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</si>
  <si>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</si>
  <si>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</si>
  <si>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</si>
  <si>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</si>
  <si>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</si>
  <si>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</si>
  <si>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</si>
  <si>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</si>
  <si>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</si>
  <si>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</si>
  <si>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</si>
  <si>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</si>
  <si>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</si>
  <si>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</si>
  <si>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</si>
  <si>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</si>
  <si>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</si>
  <si>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</si>
  <si>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</si>
  <si>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</si>
  <si>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</si>
  <si>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</si>
  <si>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</si>
  <si>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</si>
  <si>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</si>
  <si>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</si>
  <si>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</si>
  <si>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</si>
  <si>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</si>
  <si>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</si>
  <si>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</si>
  <si>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</si>
  <si>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</si>
  <si>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</si>
  <si>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</si>
  <si>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</si>
  <si>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</si>
  <si>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</si>
  <si>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</si>
  <si>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</si>
  <si>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</si>
  <si>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</si>
  <si>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</si>
  <si>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</si>
  <si>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</si>
  <si>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</si>
  <si>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</si>
  <si>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</si>
  <si>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</si>
  <si>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</si>
  <si>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</si>
  <si>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</si>
  <si>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</si>
  <si>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</si>
  <si>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</si>
  <si>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</si>
  <si>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</si>
  <si>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</si>
  <si>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</si>
  <si>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</si>
  <si>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</si>
  <si>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</si>
  <si>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</si>
  <si>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</si>
  <si>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</si>
  <si>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</si>
  <si>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</si>
  <si>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</si>
  <si>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</si>
  <si>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</si>
  <si>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</si>
  <si>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</si>
  <si>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</si>
  <si>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</si>
  <si>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</si>
  <si>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</si>
  <si>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</si>
  <si>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</si>
  <si>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</si>
  <si>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</si>
  <si>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</si>
  <si>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</si>
  <si>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</si>
  <si>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</si>
  <si>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</si>
  <si>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</si>
  <si>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</si>
  <si>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</si>
  <si>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</si>
  <si>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</si>
  <si>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</si>
  <si>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</si>
  <si>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</si>
  <si>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</si>
  <si>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</si>
  <si>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</si>
  <si>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</si>
  <si>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</si>
  <si>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</si>
  <si>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</si>
  <si>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</si>
  <si>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</si>
  <si>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</si>
  <si>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</si>
  <si>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</si>
  <si>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</si>
  <si>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</si>
  <si>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</si>
  <si>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</si>
  <si>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</si>
  <si>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</si>
  <si>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</si>
  <si>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</si>
  <si>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</si>
  <si>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</si>
  <si>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</si>
  <si>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</si>
  <si>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</si>
  <si>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</si>
  <si>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</si>
  <si>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</si>
  <si>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</si>
  <si>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</si>
  <si>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</si>
  <si>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</si>
  <si>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</si>
  <si>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</si>
  <si>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</si>
  <si>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</si>
  <si>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</si>
  <si>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</si>
  <si>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</si>
  <si>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</si>
  <si>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</si>
  <si>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</si>
  <si>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</si>
  <si>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</si>
  <si>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</si>
  <si>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</si>
  <si>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</si>
  <si>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</si>
  <si>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</si>
  <si>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</si>
  <si>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</si>
  <si>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</si>
  <si>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</si>
  <si>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</si>
  <si>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</si>
  <si>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</si>
  <si>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</si>
  <si>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</si>
  <si>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</si>
  <si>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</si>
  <si>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</si>
  <si>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</si>
  <si>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</si>
  <si>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</si>
  <si>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</si>
  <si>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</si>
  <si>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</si>
  <si>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</si>
  <si>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</si>
  <si>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</si>
  <si>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</si>
  <si>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</si>
  <si>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</si>
  <si>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</si>
  <si>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</si>
  <si>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</si>
  <si>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</si>
  <si>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</si>
  <si>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</si>
  <si>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</si>
  <si>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</si>
  <si>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</si>
  <si>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</si>
  <si>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</si>
  <si>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</si>
  <si>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</si>
  <si>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</si>
  <si>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</si>
  <si>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</si>
  <si>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</si>
  <si>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</si>
  <si>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</si>
  <si>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</si>
  <si>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</si>
  <si>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</si>
  <si>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</si>
  <si>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</si>
  <si>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</si>
  <si>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</si>
  <si>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</si>
  <si>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</si>
  <si>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</si>
  <si>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</si>
  <si>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</si>
  <si>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</si>
  <si>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</si>
  <si>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</si>
  <si>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</si>
  <si>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</si>
  <si>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</si>
  <si>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</si>
  <si>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</si>
  <si>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</si>
  <si>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</si>
  <si>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</si>
  <si>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</si>
  <si>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</si>
  <si>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</si>
  <si>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</si>
  <si>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</si>
  <si>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</si>
  <si>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</si>
  <si>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</si>
  <si>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</si>
  <si>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</si>
  <si>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</si>
  <si>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</si>
  <si>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</si>
  <si>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</si>
  <si>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</si>
  <si>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</si>
  <si>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</si>
  <si>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</si>
  <si>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</si>
  <si>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</si>
  <si>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</si>
  <si>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</si>
  <si>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</si>
  <si>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</si>
  <si>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</si>
  <si>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</si>
  <si>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</si>
  <si>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</si>
  <si>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</si>
  <si>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</si>
  <si>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</si>
  <si>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</si>
  <si>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</si>
  <si>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</si>
  <si>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</si>
  <si>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</si>
  <si>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</si>
  <si>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</si>
  <si>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</si>
  <si>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</si>
  <si>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</si>
  <si>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</si>
  <si>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</si>
  <si>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</si>
  <si>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</si>
  <si>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</si>
  <si>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</si>
  <si>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</si>
  <si>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</si>
  <si>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</si>
  <si>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</si>
  <si>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</si>
  <si>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</si>
  <si>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</si>
  <si>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</si>
  <si>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</si>
  <si>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</si>
  <si>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</si>
  <si>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</si>
  <si>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</si>
  <si>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</si>
  <si>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</si>
  <si>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</si>
  <si>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</si>
  <si>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</si>
  <si>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</si>
  <si>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</si>
  <si>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</si>
  <si>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</si>
  <si>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</si>
  <si>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</si>
  <si>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</si>
  <si>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</si>
  <si>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</si>
  <si>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</si>
  <si>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</si>
  <si>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</si>
  <si>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</si>
  <si>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</si>
  <si>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</si>
  <si>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</si>
  <si>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</si>
  <si>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</si>
  <si>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</si>
  <si>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</si>
  <si>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</si>
  <si>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</si>
  <si>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</si>
  <si>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</si>
  <si>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</si>
  <si>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</si>
  <si>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</si>
  <si>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</si>
  <si>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</si>
  <si>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</si>
  <si>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</si>
  <si>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</si>
  <si>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</si>
  <si>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</si>
  <si>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</si>
  <si>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</si>
  <si>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</si>
  <si>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</si>
  <si>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</si>
  <si>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</si>
  <si>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</si>
  <si>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</si>
  <si>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</si>
  <si>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</si>
  <si>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</si>
  <si>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</si>
  <si>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</si>
  <si>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</si>
  <si>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</si>
  <si>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</si>
  <si>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</si>
  <si>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</si>
  <si>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</si>
  <si>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</si>
  <si>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</si>
  <si>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</si>
  <si>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</si>
  <si>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</si>
  <si>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</si>
  <si>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</si>
  <si>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</si>
  <si>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</si>
  <si>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</si>
  <si>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</si>
  <si>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</si>
  <si>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</si>
  <si>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</si>
  <si>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</si>
  <si>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</si>
  <si>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</si>
  <si>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</si>
  <si>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</si>
  <si>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</si>
  <si>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</si>
  <si>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</si>
  <si>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</si>
  <si>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</si>
  <si>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</si>
  <si>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</si>
  <si>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</si>
  <si>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</si>
  <si>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</si>
  <si>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</si>
  <si>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</si>
  <si>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</si>
  <si>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</si>
  <si>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</si>
  <si>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</si>
  <si>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</si>
  <si>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</si>
  <si>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</si>
  <si>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</si>
  <si>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</si>
  <si>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</si>
  <si>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</si>
  <si>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</si>
  <si>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</si>
  <si>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</si>
  <si>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</si>
  <si>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</si>
  <si>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</si>
  <si>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</si>
  <si>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</si>
  <si>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</si>
  <si>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</si>
  <si>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</si>
  <si>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</si>
  <si>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</si>
  <si>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</si>
  <si>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</si>
  <si>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</si>
  <si>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</si>
  <si>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</si>
  <si>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</si>
  <si>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</si>
  <si>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</si>
  <si>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</si>
  <si>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</si>
  <si>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</si>
  <si>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</si>
  <si>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</si>
  <si>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</si>
  <si>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</si>
  <si>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</si>
  <si>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</si>
  <si>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</si>
  <si>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</si>
  <si>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</si>
  <si>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</si>
  <si>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</si>
  <si>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</si>
  <si>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</si>
  <si>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</si>
  <si>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</si>
  <si>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</si>
  <si>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</si>
  <si>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</si>
  <si>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</si>
  <si>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</si>
  <si>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</si>
  <si>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</si>
  <si>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</si>
  <si>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</si>
  <si>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</si>
  <si>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</si>
  <si>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</si>
  <si>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</si>
  <si>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</si>
  <si>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</si>
  <si>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</si>
  <si>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</si>
  <si>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</si>
  <si>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</si>
  <si>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</si>
  <si>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</si>
  <si>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</si>
  <si>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</si>
  <si>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</si>
  <si>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</si>
  <si>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</si>
  <si>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</si>
  <si>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</si>
  <si>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</si>
  <si>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</si>
  <si>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</si>
  <si>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</si>
  <si>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</si>
  <si>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</si>
  <si>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</si>
  <si>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</si>
  <si>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</si>
  <si>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</si>
  <si>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</si>
  <si>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</si>
  <si>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</si>
  <si>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</si>
  <si>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</si>
  <si>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</si>
  <si>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</si>
  <si>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</si>
  <si>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</si>
  <si>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</si>
  <si>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</si>
  <si>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</si>
  <si>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</si>
  <si>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</si>
  <si>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</si>
  <si>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</si>
  <si>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</si>
  <si>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</si>
  <si>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</si>
  <si>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</si>
  <si>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</si>
  <si>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</si>
  <si>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</si>
  <si>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</si>
  <si>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</si>
  <si>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</si>
  <si>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</si>
  <si>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</si>
  <si>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</si>
  <si>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</si>
  <si>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</si>
  <si>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</si>
  <si>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</si>
  <si>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</si>
  <si>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</si>
  <si>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</si>
  <si>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</si>
  <si>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</si>
  <si>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</si>
  <si>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</si>
  <si>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</si>
  <si>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</si>
  <si>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</si>
  <si>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</si>
  <si>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</si>
  <si>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</si>
  <si>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</si>
  <si>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</si>
  <si>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</si>
  <si>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</si>
  <si>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</si>
  <si>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</si>
  <si>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</si>
  <si>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</si>
  <si>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</si>
  <si>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</si>
  <si>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</si>
  <si>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</si>
  <si>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</si>
  <si>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</si>
  <si>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</si>
  <si>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</si>
  <si>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</si>
  <si>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</si>
  <si>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</si>
  <si>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</si>
  <si>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</si>
  <si>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</si>
  <si>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</si>
  <si>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</si>
  <si>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</si>
  <si>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</si>
  <si>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</si>
  <si>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</si>
  <si>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</si>
  <si>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</si>
  <si>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</si>
  <si>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</si>
  <si>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</si>
  <si>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</si>
  <si>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</si>
  <si>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</si>
  <si>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</si>
  <si>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</si>
  <si>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</si>
  <si>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</si>
  <si>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</si>
  <si>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</si>
  <si>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</si>
  <si>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</si>
  <si>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</si>
  <si>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</si>
  <si>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</si>
  <si>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</si>
  <si>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</si>
  <si>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</si>
  <si>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</si>
  <si>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</si>
  <si>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</si>
  <si>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</si>
  <si>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</si>
  <si>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</si>
  <si>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</si>
  <si>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</si>
  <si>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</si>
  <si>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</si>
  <si>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</si>
  <si>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</si>
  <si>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</si>
  <si>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</si>
  <si>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</si>
  <si>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</si>
  <si>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</si>
  <si>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</si>
  <si>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</si>
  <si>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</si>
  <si>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</si>
  <si>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</si>
  <si>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</si>
  <si>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</si>
  <si>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</si>
  <si>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</si>
  <si>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</si>
  <si>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</si>
  <si>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</si>
  <si>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</si>
  <si>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</si>
  <si>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</si>
  <si>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</si>
  <si>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</si>
  <si>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</si>
  <si>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</si>
  <si>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</si>
  <si>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</si>
  <si>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</si>
  <si>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</si>
  <si>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</si>
  <si>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</si>
  <si>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</si>
  <si>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</si>
  <si>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</si>
  <si>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</si>
  <si>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</si>
  <si>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</si>
  <si>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</si>
  <si>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</si>
  <si>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</si>
  <si>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</si>
  <si>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</si>
  <si>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</si>
  <si>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</si>
  <si>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</si>
  <si>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</si>
  <si>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</si>
  <si>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</si>
  <si>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</si>
  <si>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</si>
  <si>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</si>
  <si>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</si>
  <si>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</si>
  <si>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</si>
  <si>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</si>
  <si>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</si>
  <si>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</si>
  <si>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</si>
  <si>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</si>
  <si>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</si>
  <si>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</si>
  <si>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</si>
  <si>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</si>
  <si>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</si>
  <si>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</si>
  <si>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</si>
  <si>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</si>
  <si>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</si>
  <si>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</si>
  <si>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</si>
  <si>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</si>
  <si>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</si>
  <si>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</si>
  <si>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</si>
  <si>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</si>
  <si>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</si>
  <si>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</si>
  <si>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</si>
  <si>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</si>
  <si>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</si>
  <si>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</si>
  <si>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</si>
  <si>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</si>
  <si>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</si>
  <si>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</si>
  <si>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</si>
  <si>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</si>
  <si>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</si>
  <si>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</si>
  <si>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</si>
  <si>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</si>
  <si>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</si>
  <si>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</si>
  <si>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</si>
  <si>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</si>
  <si>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</si>
  <si>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</si>
  <si>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</si>
  <si>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</si>
  <si>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</si>
  <si>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</si>
  <si>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</si>
  <si>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</si>
  <si>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</si>
  <si>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</si>
  <si>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</si>
  <si>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</si>
  <si>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</si>
  <si>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</si>
  <si>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</si>
  <si>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</si>
  <si>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</si>
  <si>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</si>
  <si>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</si>
  <si>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</si>
  <si>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</si>
  <si>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</si>
  <si>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</si>
  <si>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</si>
  <si>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</si>
  <si>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</si>
  <si>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</si>
  <si>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</si>
  <si>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</si>
  <si>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</si>
  <si>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</si>
  <si>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</si>
  <si>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</si>
  <si>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</si>
  <si>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</si>
  <si>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</si>
  <si>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</si>
  <si>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</si>
  <si>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</si>
  <si>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</si>
  <si>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</si>
  <si>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</si>
  <si>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</si>
  <si>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</si>
  <si>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</si>
  <si>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</si>
  <si>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</si>
  <si>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</si>
  <si>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</si>
  <si>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</si>
  <si>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</si>
  <si>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</si>
  <si>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</si>
  <si>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</si>
  <si>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</si>
  <si>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</si>
  <si>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</si>
  <si>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</si>
  <si>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</si>
  <si>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</si>
  <si>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</si>
  <si>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</si>
  <si>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</si>
  <si>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</si>
  <si>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</si>
  <si>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</si>
  <si>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</si>
  <si>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</si>
  <si>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</si>
  <si>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</si>
  <si>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</si>
  <si>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</si>
  <si>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</si>
  <si>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</si>
  <si>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</si>
  <si>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</si>
  <si>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</si>
  <si>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</si>
  <si>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</si>
  <si>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</si>
  <si>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</si>
  <si>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</si>
  <si>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</si>
  <si>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</si>
  <si>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</si>
  <si>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</si>
  <si>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</si>
  <si>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</si>
  <si>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</si>
  <si>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</si>
  <si>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</si>
  <si>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</si>
  <si>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</si>
  <si>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</si>
  <si>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</si>
  <si>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</si>
  <si>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</si>
  <si>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</si>
  <si>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</si>
  <si>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</si>
  <si>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</si>
  <si>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</si>
  <si>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</si>
  <si>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</si>
  <si>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</si>
  <si>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</si>
  <si>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</si>
  <si>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</si>
  <si>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</si>
  <si>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</si>
  <si>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</si>
  <si>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</si>
  <si>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</si>
  <si>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</si>
  <si>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</si>
  <si>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</si>
  <si>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</si>
  <si>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</si>
  <si>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</si>
  <si>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</si>
  <si>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</si>
  <si>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</si>
  <si>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</si>
  <si>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</si>
  <si>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</si>
  <si>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</si>
  <si>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</si>
  <si>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</si>
  <si>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</si>
  <si>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</si>
  <si>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</si>
  <si>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</si>
  <si>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</si>
  <si>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</si>
  <si>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</si>
  <si>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</si>
  <si>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</si>
  <si>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</si>
  <si>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</si>
  <si>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</si>
  <si>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</si>
  <si>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</si>
  <si>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</si>
  <si>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</si>
  <si>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</si>
  <si>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</si>
  <si>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</si>
  <si>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</si>
  <si>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</si>
  <si>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</si>
  <si>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</si>
  <si>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</si>
  <si>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</si>
  <si>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</si>
  <si>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</si>
  <si>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</si>
  <si>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</si>
  <si>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</si>
  <si>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</si>
  <si>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</si>
  <si>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</si>
  <si>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</si>
  <si>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</si>
  <si>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</si>
  <si>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</si>
  <si>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</si>
  <si>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</si>
  <si>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</si>
  <si>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</si>
  <si>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</si>
  <si>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</si>
  <si>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</si>
  <si>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</si>
  <si>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</si>
  <si>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</si>
  <si>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</si>
  <si>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</si>
  <si>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</si>
  <si>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</si>
  <si>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</si>
  <si>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</si>
  <si>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</si>
  <si>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</si>
  <si>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</si>
  <si>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</si>
  <si>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</si>
  <si>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</si>
  <si>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</si>
  <si>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</si>
  <si>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</si>
  <si>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</si>
  <si>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</si>
  <si>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</si>
  <si>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</si>
  <si>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</si>
  <si>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</si>
  <si>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</si>
  <si>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</si>
  <si>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</si>
  <si>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</si>
  <si>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</si>
  <si>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</si>
  <si>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</si>
  <si>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</si>
  <si>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</si>
  <si>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</si>
  <si>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</si>
  <si>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</si>
  <si>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</si>
  <si>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</si>
  <si>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</si>
  <si>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</si>
  <si>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</si>
  <si>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</si>
  <si>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</si>
  <si>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</si>
  <si>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</si>
  <si>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</si>
  <si>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</si>
  <si>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</si>
  <si>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</si>
  <si>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</si>
  <si>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</si>
  <si>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</si>
  <si>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</si>
  <si>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</si>
  <si>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</si>
  <si>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</si>
  <si>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</si>
  <si>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</si>
  <si>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</si>
  <si>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</si>
  <si>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</si>
  <si>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</si>
  <si>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</si>
  <si>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</si>
  <si>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</si>
  <si>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</si>
  <si>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</si>
  <si>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</si>
  <si>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</si>
  <si>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</si>
  <si>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</si>
  <si>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</si>
  <si>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</si>
  <si>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</si>
  <si>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</si>
  <si>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</si>
  <si>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</si>
  <si>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</si>
  <si>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</si>
  <si>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</si>
  <si>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</si>
  <si>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</si>
  <si>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</si>
  <si>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</si>
  <si>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</si>
  <si>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</si>
  <si>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</si>
  <si>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</si>
  <si>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</si>
  <si>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</si>
  <si>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</si>
  <si>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</si>
  <si>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</si>
  <si>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</si>
  <si>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</si>
  <si>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</si>
  <si>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</si>
  <si>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</si>
  <si>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</si>
  <si>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</si>
  <si>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</si>
  <si>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</si>
  <si>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</si>
  <si>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</si>
  <si>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</si>
  <si>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</si>
  <si>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</si>
  <si>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</si>
  <si>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</si>
  <si>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</si>
  <si>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</si>
  <si>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</si>
  <si>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</si>
  <si>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</si>
  <si>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</si>
  <si>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</si>
  <si>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</si>
  <si>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</si>
  <si>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</si>
  <si>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</si>
  <si>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</si>
  <si>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</si>
  <si>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</si>
  <si>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</si>
  <si>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</si>
  <si>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</si>
  <si>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</si>
  <si>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</si>
  <si>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</si>
  <si>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</si>
  <si>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</si>
  <si>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</si>
  <si>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</si>
  <si>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</si>
  <si>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</si>
  <si>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</si>
  <si>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</si>
  <si>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</si>
  <si>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</si>
  <si>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</si>
  <si>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</si>
  <si>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</si>
  <si>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</si>
  <si>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</si>
  <si>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</si>
  <si>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</si>
  <si>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</si>
  <si>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</si>
  <si>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</si>
  <si>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</si>
  <si>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</si>
  <si>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</si>
  <si>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</si>
  <si>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</si>
  <si>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</si>
  <si>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</si>
  <si>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</si>
  <si>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</si>
  <si>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</si>
  <si>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</si>
  <si>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</si>
  <si>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</si>
  <si>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</si>
  <si>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</si>
  <si>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</si>
  <si>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</si>
  <si>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</si>
  <si>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</si>
  <si>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</si>
  <si>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</si>
  <si>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</si>
  <si>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</si>
  <si>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</si>
  <si>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</si>
  <si>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</si>
  <si>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</si>
  <si>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</si>
  <si>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</si>
  <si>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</si>
  <si>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</si>
  <si>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</si>
  <si>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</si>
  <si>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</si>
  <si>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</si>
  <si>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</si>
  <si>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</si>
  <si>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</si>
  <si>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</si>
  <si>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</si>
  <si>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</si>
  <si>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</si>
  <si>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</si>
  <si>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</si>
  <si>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</si>
  <si>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</si>
  <si>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</si>
  <si>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</si>
  <si>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</si>
  <si>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</si>
  <si>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</si>
  <si>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</si>
  <si>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</si>
  <si>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</si>
  <si>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</si>
  <si>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</si>
  <si>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</si>
  <si>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</si>
  <si>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</si>
  <si>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</si>
  <si>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</si>
  <si>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</si>
  <si>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</si>
  <si>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</si>
  <si>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</si>
  <si>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</si>
  <si>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</si>
  <si>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</si>
  <si>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</si>
  <si>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</si>
  <si>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</si>
  <si>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</si>
  <si>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</si>
  <si>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</si>
  <si>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</si>
  <si>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</si>
  <si>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</si>
  <si>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</si>
  <si>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</si>
  <si>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</si>
  <si>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</si>
  <si>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</si>
  <si>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</si>
  <si>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</si>
  <si>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</si>
  <si>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</si>
  <si>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</si>
  <si>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</si>
  <si>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</si>
  <si>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</si>
  <si>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</si>
  <si>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</si>
  <si>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</si>
  <si>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</si>
  <si>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</si>
  <si>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</si>
  <si>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</si>
  <si>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</si>
  <si>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</si>
  <si>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</si>
  <si>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</si>
  <si>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</si>
  <si>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</si>
  <si>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</si>
  <si>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</si>
  <si>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</si>
  <si>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</si>
  <si>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</si>
  <si>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</si>
  <si>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</si>
  <si>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</si>
  <si>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</si>
  <si>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</si>
  <si>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</si>
  <si>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</si>
  <si>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</si>
  <si>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</si>
  <si>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</si>
  <si>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</si>
  <si>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</si>
  <si>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</si>
  <si>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</si>
  <si>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</si>
  <si>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</si>
  <si>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</si>
  <si>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</si>
  <si>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</si>
  <si>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</si>
  <si>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</si>
  <si>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</si>
  <si>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</si>
  <si>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</si>
  <si>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</si>
  <si>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</si>
  <si>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</si>
  <si>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</si>
  <si>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</si>
  <si>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</si>
  <si>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</si>
  <si>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</si>
  <si>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</si>
  <si>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</si>
  <si>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</si>
  <si>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</si>
  <si>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</si>
  <si>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</si>
  <si>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</si>
  <si>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</si>
  <si>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</si>
  <si>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</si>
  <si>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</si>
  <si>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</si>
  <si>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</si>
  <si>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</si>
  <si>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</si>
  <si>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</si>
  <si>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</si>
  <si>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</si>
  <si>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</si>
  <si>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</si>
  <si>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</si>
  <si>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</si>
  <si>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</si>
  <si>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</si>
  <si>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</si>
  <si>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</si>
  <si>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</si>
  <si>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</si>
  <si>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</si>
  <si>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</si>
  <si>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</si>
  <si>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</si>
  <si>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</si>
  <si>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</si>
  <si>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</si>
  <si>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</si>
  <si>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</si>
  <si>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</si>
  <si>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</si>
  <si>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</si>
  <si>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</si>
  <si>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</si>
  <si>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</si>
  <si>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</si>
  <si>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</si>
  <si>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</si>
  <si>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</si>
  <si>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</si>
  <si>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</si>
  <si>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</si>
  <si>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</si>
  <si>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</si>
  <si>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</si>
  <si>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</si>
  <si>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</si>
  <si>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</si>
  <si>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</si>
  <si>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</si>
  <si>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</si>
  <si>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</si>
  <si>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</si>
  <si>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</si>
  <si>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</si>
  <si>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</si>
  <si>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</si>
  <si>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</si>
  <si>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</si>
  <si>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</si>
  <si>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</si>
  <si>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</si>
  <si>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</si>
  <si>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</si>
  <si>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</si>
  <si>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</si>
  <si>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</si>
  <si>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</si>
  <si>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</si>
  <si>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</si>
  <si>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</si>
  <si>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</si>
  <si>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</si>
  <si>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</si>
  <si>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</si>
  <si>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</si>
  <si>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</si>
  <si>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</si>
  <si>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</si>
  <si>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</si>
  <si>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</si>
  <si>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</si>
  <si>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</si>
  <si>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</si>
  <si>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</si>
  <si>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</si>
  <si>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</si>
  <si>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</si>
  <si>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</si>
  <si>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</si>
  <si>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</si>
  <si>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</si>
  <si>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</si>
  <si>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</si>
  <si>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</si>
  <si>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</si>
  <si>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</si>
  <si>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</si>
  <si>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</si>
  <si>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</si>
  <si>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</si>
  <si>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</si>
  <si>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</si>
  <si>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</si>
  <si>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</si>
  <si>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</si>
  <si>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</si>
  <si>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</si>
  <si>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</si>
  <si>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</si>
  <si>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</si>
  <si>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</si>
  <si>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</si>
  <si>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</si>
  <si>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</si>
  <si>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</si>
  <si>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</si>
  <si>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</si>
  <si>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</si>
  <si>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</si>
  <si>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</si>
  <si>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</si>
  <si>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</si>
  <si>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</si>
  <si>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</si>
  <si>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</si>
  <si>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</si>
  <si>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</si>
  <si>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</si>
  <si>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</si>
  <si>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</si>
  <si>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</si>
  <si>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</si>
  <si>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</si>
  <si>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</si>
  <si>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</si>
  <si>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</si>
  <si>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</si>
  <si>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</si>
  <si>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</si>
  <si>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</si>
  <si>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</si>
  <si>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</si>
  <si>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</si>
  <si>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</si>
  <si>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</si>
  <si>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</si>
  <si>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</si>
  <si>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</si>
  <si>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</si>
  <si>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</si>
  <si>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</si>
  <si>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</si>
  <si>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</si>
  <si>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</si>
  <si>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</si>
  <si>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</si>
  <si>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</si>
  <si>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</si>
  <si>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</si>
  <si>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</si>
  <si>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</si>
  <si>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</si>
  <si>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</si>
  <si>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</si>
  <si>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</si>
  <si>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</si>
  <si>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</si>
  <si>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</si>
  <si>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</si>
  <si>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</si>
  <si>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</si>
  <si>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</si>
  <si>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</si>
  <si>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</si>
  <si>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</si>
  <si>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</si>
  <si>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</si>
  <si>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</si>
  <si>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</si>
  <si>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</si>
  <si>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</si>
  <si>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</si>
  <si>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</si>
  <si>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</si>
  <si>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</si>
  <si>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</si>
  <si>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</si>
  <si>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</si>
  <si>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</si>
  <si>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</si>
  <si>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</si>
  <si>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</si>
  <si>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</si>
  <si>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</si>
  <si>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</si>
  <si>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</si>
  <si>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</si>
  <si>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</si>
  <si>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</si>
  <si>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</si>
  <si>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</si>
  <si>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</si>
  <si>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</si>
  <si>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</si>
  <si>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</si>
  <si>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</si>
  <si>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</si>
  <si>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</si>
  <si>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</si>
  <si>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</si>
  <si>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</si>
  <si>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</si>
  <si>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</si>
  <si>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</si>
  <si>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</si>
  <si>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</si>
  <si>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</si>
  <si>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</si>
  <si>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</si>
  <si>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</si>
  <si>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</si>
  <si>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</si>
  <si>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</si>
  <si>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</si>
  <si>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</si>
  <si>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</si>
  <si>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</si>
  <si>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</si>
  <si>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</si>
  <si>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</si>
  <si>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</si>
  <si>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</si>
  <si>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</si>
  <si>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</si>
  <si>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</si>
  <si>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</si>
  <si>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</si>
  <si>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</si>
  <si>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</si>
  <si>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</si>
  <si>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</si>
  <si>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</si>
  <si>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</si>
  <si>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</si>
  <si>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</si>
  <si>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</si>
  <si>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</si>
  <si>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</si>
  <si>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</si>
  <si>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</si>
  <si>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</si>
  <si>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</si>
  <si>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</si>
  <si>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</si>
  <si>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</si>
  <si>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</si>
  <si>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</si>
  <si>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</si>
  <si>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</si>
  <si>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</si>
  <si>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</si>
  <si>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</si>
  <si>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</si>
  <si>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</si>
  <si>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</si>
  <si>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</si>
  <si>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</si>
  <si>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</si>
  <si>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</si>
  <si>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</si>
  <si>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</si>
  <si>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</si>
  <si>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</si>
  <si>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</si>
  <si>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</si>
  <si>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</si>
  <si>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</si>
  <si>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</si>
  <si>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</si>
  <si>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</si>
  <si>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</si>
  <si>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</si>
  <si>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</si>
  <si>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</si>
  <si>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</si>
  <si>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</si>
  <si>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</si>
  <si>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</si>
  <si>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</si>
  <si>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</si>
  <si>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</si>
  <si>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</si>
  <si>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</si>
  <si>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</si>
  <si>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</si>
  <si>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</si>
  <si>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</si>
  <si>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</si>
  <si>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</si>
  <si>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</si>
  <si>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</si>
  <si>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</si>
  <si>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</si>
  <si>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</si>
  <si>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</si>
  <si>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</si>
  <si>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</si>
  <si>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</si>
  <si>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</si>
  <si>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</si>
  <si>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</si>
  <si>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</si>
  <si>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</si>
  <si>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</si>
  <si>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</si>
  <si>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</si>
  <si>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</si>
  <si>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</si>
  <si>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</si>
  <si>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</si>
  <si>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</si>
  <si>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</si>
  <si>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</si>
  <si>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</si>
  <si>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</si>
  <si>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</si>
  <si>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</si>
  <si>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</si>
  <si>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</si>
  <si>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</si>
  <si>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</si>
  <si>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</si>
  <si>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</si>
  <si>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</si>
  <si>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</si>
  <si>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</si>
  <si>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</si>
  <si>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</si>
  <si>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</si>
  <si>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</si>
  <si>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</si>
  <si>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</si>
  <si>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</si>
  <si>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</si>
  <si>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</si>
  <si>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</si>
  <si>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</si>
  <si>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</si>
  <si>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</si>
  <si>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</si>
  <si>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</si>
  <si>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</si>
  <si>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</si>
  <si>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</si>
  <si>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</si>
  <si>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</si>
  <si>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</si>
  <si>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</si>
  <si>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</si>
  <si>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</si>
  <si>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</si>
  <si>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</si>
  <si>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</si>
  <si>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</si>
  <si>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</si>
  <si>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</si>
  <si>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</si>
  <si>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</si>
  <si>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</si>
  <si>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</si>
  <si>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</si>
  <si>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</si>
  <si>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</si>
  <si>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</si>
  <si>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</si>
  <si>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</si>
  <si>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</si>
  <si>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</si>
  <si>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</si>
  <si>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</si>
  <si>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</si>
  <si>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</si>
  <si>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</si>
  <si>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</si>
  <si>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</si>
  <si>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</si>
  <si>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</si>
  <si>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</si>
  <si>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</si>
  <si>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</si>
  <si>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</si>
  <si>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</si>
  <si>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</si>
  <si>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</si>
  <si>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</si>
  <si>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</si>
  <si>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</si>
  <si>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</si>
  <si>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</si>
  <si>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</si>
  <si>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</si>
  <si>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</si>
  <si>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</si>
  <si>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</si>
  <si>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</si>
  <si>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</si>
  <si>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</si>
  <si>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</si>
  <si>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</si>
  <si>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</si>
  <si>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</si>
  <si>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</si>
  <si>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</si>
  <si>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</si>
  <si>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</si>
  <si>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</si>
  <si>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</si>
  <si>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</si>
  <si>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</si>
  <si>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</si>
  <si>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</si>
  <si>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</si>
  <si>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</si>
  <si>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</si>
  <si>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</si>
  <si>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</si>
  <si>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</si>
  <si>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</si>
  <si>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</si>
  <si>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</si>
  <si>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</si>
  <si>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</si>
  <si>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</si>
  <si>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</si>
  <si>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</si>
  <si>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</si>
  <si>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</si>
  <si>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</si>
  <si>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</si>
  <si>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</si>
  <si>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</si>
  <si>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</si>
  <si>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</si>
  <si>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</si>
  <si>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</si>
  <si>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</si>
  <si>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</si>
  <si>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</si>
  <si>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</si>
  <si>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</si>
  <si>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</si>
  <si>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</si>
  <si>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</si>
  <si>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</si>
  <si>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</si>
  <si>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</si>
  <si>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</si>
  <si>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</si>
  <si>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</si>
  <si>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</si>
  <si>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</si>
  <si>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</si>
  <si>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</si>
  <si>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</si>
  <si>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</si>
  <si>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</si>
  <si>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</si>
  <si>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</si>
  <si>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</si>
  <si>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</si>
  <si>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</si>
  <si>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</si>
  <si>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</si>
  <si>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</si>
  <si>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</si>
  <si>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</si>
  <si>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</si>
  <si>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</si>
  <si>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</si>
  <si>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</si>
  <si>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</si>
  <si>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</si>
  <si>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</si>
  <si>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</si>
  <si>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</si>
  <si>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</si>
  <si>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</si>
  <si>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</si>
  <si>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</si>
  <si>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</si>
  <si>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</si>
  <si>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</si>
  <si>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</si>
  <si>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</si>
  <si>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</si>
  <si>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</si>
  <si>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</si>
  <si>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</si>
  <si>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</si>
  <si>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</si>
  <si>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</si>
  <si>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</si>
  <si>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</si>
  <si>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</si>
  <si>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</si>
  <si>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</si>
  <si>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</si>
  <si>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</si>
  <si>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</si>
  <si>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</si>
  <si>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</si>
  <si>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</si>
  <si>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</si>
  <si>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</si>
  <si>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</si>
  <si>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</si>
  <si>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</si>
  <si>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</si>
  <si>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</si>
  <si>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</si>
  <si>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</si>
  <si>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</si>
  <si>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</si>
  <si>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</si>
  <si>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</si>
  <si>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</si>
  <si>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</si>
  <si>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</si>
  <si>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</si>
  <si>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</si>
  <si>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</si>
  <si>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</si>
  <si>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</si>
  <si>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</si>
  <si>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</si>
  <si>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</si>
  <si>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</si>
  <si>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</si>
  <si>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</si>
  <si>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</si>
  <si>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</si>
  <si>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</si>
  <si>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</si>
  <si>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</si>
  <si>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</si>
  <si>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</si>
  <si>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</si>
  <si>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</si>
  <si>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</si>
  <si>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</si>
  <si>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</si>
  <si>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</si>
  <si>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</si>
  <si>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</si>
  <si>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</si>
  <si>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</si>
  <si>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</si>
  <si>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</si>
  <si>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</si>
  <si>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</si>
  <si>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</si>
  <si>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</si>
  <si>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</si>
  <si>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</si>
  <si>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</si>
  <si>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</si>
  <si>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</si>
  <si>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</si>
  <si>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</si>
  <si>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</si>
  <si>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</si>
  <si>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</si>
  <si>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</si>
  <si>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</si>
  <si>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</si>
  <si>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</si>
  <si>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</si>
  <si>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</si>
  <si>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</si>
  <si>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</si>
  <si>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</si>
  <si>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</si>
  <si>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</si>
  <si>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</si>
  <si>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</si>
  <si>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</si>
  <si>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</si>
  <si>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</si>
  <si>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</si>
  <si>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</si>
  <si>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</si>
  <si>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</si>
  <si>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</si>
  <si>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</si>
  <si>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</si>
  <si>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</si>
  <si>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</si>
  <si>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</si>
  <si>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</si>
  <si>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</si>
  <si>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</si>
  <si>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</si>
  <si>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</si>
  <si>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</si>
  <si>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</si>
  <si>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</si>
  <si>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</si>
  <si>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</si>
  <si>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</si>
  <si>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</si>
  <si>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</si>
  <si>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</si>
  <si>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</si>
  <si>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</si>
  <si>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</si>
  <si>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</si>
  <si>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</si>
  <si>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</si>
  <si>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</si>
  <si>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</si>
  <si>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</si>
  <si>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</si>
  <si>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</si>
  <si>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</si>
  <si>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</si>
  <si>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</si>
  <si>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</si>
  <si>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</si>
  <si>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</si>
  <si>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</si>
  <si>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</si>
  <si>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</si>
  <si>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</si>
  <si>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</si>
  <si>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</si>
  <si>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</si>
  <si>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</si>
  <si>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</si>
  <si>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</si>
  <si>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</si>
  <si>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</si>
  <si>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</si>
  <si>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</si>
  <si>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</si>
  <si>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</si>
  <si>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</si>
  <si>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</si>
  <si>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</si>
  <si>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</si>
  <si>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</si>
  <si>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</si>
  <si>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</si>
  <si>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</si>
  <si>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</si>
  <si>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</si>
  <si>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</si>
  <si>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</si>
  <si>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</si>
  <si>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</si>
  <si>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</si>
  <si>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</si>
  <si>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</si>
  <si>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</si>
  <si>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</si>
  <si>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</si>
  <si>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</si>
  <si>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</si>
  <si>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</si>
  <si>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</si>
  <si>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</si>
  <si>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</si>
  <si>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</si>
  <si>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</si>
  <si>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</si>
  <si>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</si>
  <si>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</si>
  <si>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</si>
  <si>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</si>
  <si>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</si>
  <si>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</si>
  <si>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</si>
  <si>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</si>
  <si>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</si>
  <si>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</si>
  <si>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</si>
  <si>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</si>
  <si>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</si>
  <si>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</si>
  <si>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</si>
  <si>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</si>
  <si>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</si>
  <si>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</si>
  <si>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</si>
  <si>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</si>
  <si>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</si>
  <si>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</si>
  <si>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</si>
  <si>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</si>
  <si>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</si>
  <si>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</si>
  <si>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</si>
  <si>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</si>
  <si>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</si>
  <si>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</si>
  <si>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</si>
  <si>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</si>
  <si>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</si>
  <si>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</si>
  <si>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</si>
  <si>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</si>
  <si>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</si>
  <si>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</si>
  <si>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</si>
  <si>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</si>
  <si>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</si>
  <si>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</si>
  <si>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</si>
  <si>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</si>
  <si>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</si>
  <si>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</si>
  <si>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</si>
  <si>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</si>
  <si>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</si>
  <si>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</si>
  <si>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</si>
  <si>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</si>
  <si>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</si>
  <si>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</si>
  <si>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</si>
  <si>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</si>
  <si>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</si>
  <si>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</si>
  <si>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</si>
  <si>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</si>
  <si>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</si>
  <si>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</si>
  <si>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</si>
  <si>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</si>
  <si>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</si>
  <si>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</si>
  <si>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</si>
  <si>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</si>
  <si>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</si>
  <si>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</si>
  <si>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</si>
  <si>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</si>
  <si>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</si>
  <si>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</si>
  <si>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</si>
  <si>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</si>
  <si>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</si>
  <si>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</si>
  <si>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</si>
  <si>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</si>
  <si>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</si>
  <si>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</si>
  <si>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</si>
  <si>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</si>
  <si>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</si>
  <si>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</si>
  <si>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</si>
  <si>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</si>
  <si>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</si>
  <si>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</si>
  <si>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</si>
  <si>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</si>
  <si>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</si>
  <si>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</si>
  <si>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</si>
  <si>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</si>
  <si>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</si>
  <si>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</si>
  <si>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</si>
  <si>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</si>
  <si>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</si>
  <si>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</si>
  <si>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</si>
  <si>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</si>
  <si>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</si>
  <si>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</si>
  <si>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</si>
  <si>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</si>
  <si>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</si>
  <si>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</si>
  <si>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</si>
  <si>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</si>
  <si>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</si>
  <si>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</si>
  <si>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</si>
  <si>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</si>
  <si>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</si>
  <si>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</si>
  <si>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</si>
  <si>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</si>
  <si>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</si>
  <si>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</si>
  <si>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</si>
  <si>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</si>
  <si>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</si>
  <si>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</si>
  <si>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</si>
  <si>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</si>
  <si>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</si>
  <si>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</si>
  <si>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</si>
  <si>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</si>
  <si>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</si>
  <si>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</si>
  <si>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</si>
  <si>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</si>
  <si>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</si>
  <si>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</si>
  <si>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</si>
  <si>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</si>
  <si>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</si>
  <si>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</si>
  <si>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</si>
  <si>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</si>
  <si>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</si>
  <si>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</si>
  <si>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</si>
  <si>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</si>
  <si>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</si>
  <si>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</si>
  <si>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</si>
  <si>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</si>
  <si>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</si>
  <si>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</si>
  <si>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</si>
  <si>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</si>
  <si>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</si>
  <si>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</si>
  <si>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</si>
  <si>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</si>
  <si>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</si>
  <si>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</si>
  <si>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</si>
  <si>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</si>
  <si>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</si>
  <si>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</si>
  <si>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</si>
  <si>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</si>
  <si>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</si>
  <si>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</si>
  <si>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</si>
  <si>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</si>
  <si>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</si>
  <si>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</si>
  <si>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</si>
  <si>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</si>
  <si>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</si>
  <si>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</si>
  <si>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</si>
  <si>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</si>
  <si>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</si>
  <si>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</si>
  <si>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</si>
  <si>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</si>
  <si>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</si>
  <si>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</si>
  <si>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</si>
  <si>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</si>
  <si>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</si>
  <si>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</si>
  <si>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</si>
  <si>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</si>
  <si>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</si>
  <si>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</si>
  <si>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</si>
  <si>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</si>
  <si>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</si>
  <si>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</si>
  <si>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</si>
  <si>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</si>
  <si>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</si>
  <si>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</si>
  <si>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</si>
  <si>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</si>
  <si>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</si>
  <si>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</si>
  <si>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</si>
  <si>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</si>
  <si>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</si>
  <si>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</si>
  <si>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</si>
  <si>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</si>
  <si>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</si>
  <si>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</si>
  <si>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</si>
  <si>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</si>
  <si>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</si>
  <si>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</si>
  <si>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</si>
  <si>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</si>
  <si>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</si>
  <si>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</si>
  <si>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</si>
  <si>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</si>
  <si>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</si>
  <si>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</si>
  <si>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</si>
  <si>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</si>
  <si>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</si>
  <si>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</si>
  <si>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</si>
  <si>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</si>
  <si>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</si>
  <si>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</si>
  <si>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</si>
  <si>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</si>
  <si>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</si>
  <si>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</si>
  <si>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</si>
  <si>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</si>
  <si>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</si>
  <si>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</si>
  <si>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</si>
  <si>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</si>
  <si>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</si>
  <si>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</si>
  <si>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</si>
  <si>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</si>
  <si>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</si>
  <si>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</si>
  <si>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</si>
  <si>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</si>
  <si>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</si>
  <si>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</si>
  <si>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</si>
  <si>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</si>
  <si>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</si>
  <si>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</si>
  <si>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</si>
  <si>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</si>
  <si>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</si>
  <si>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</si>
  <si>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</si>
  <si>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</si>
  <si>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</si>
  <si>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</si>
  <si>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</si>
  <si>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</si>
  <si>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</si>
  <si>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</si>
  <si>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</si>
  <si>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</si>
  <si>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</si>
  <si>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</si>
  <si>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</si>
  <si>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</si>
  <si>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</si>
  <si>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</si>
  <si>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</si>
  <si>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</si>
  <si>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</si>
  <si>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</si>
  <si>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</si>
  <si>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</si>
  <si>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</si>
  <si>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</si>
  <si>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</si>
  <si>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</si>
  <si>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</si>
  <si>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</si>
  <si>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</si>
  <si>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</si>
  <si>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</si>
  <si>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</si>
  <si>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</si>
  <si>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</si>
  <si>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</si>
  <si>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</si>
  <si>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</si>
  <si>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</si>
  <si>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</si>
  <si>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</si>
  <si>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</si>
  <si>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</si>
  <si>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</si>
  <si>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</si>
  <si>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</si>
  <si>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</si>
  <si>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</si>
  <si>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</si>
  <si>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</si>
  <si>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</si>
  <si>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</si>
  <si>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</si>
  <si>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</si>
  <si>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</si>
  <si>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</si>
  <si>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</si>
  <si>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</si>
  <si>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</si>
  <si>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</si>
  <si>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</si>
  <si>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</si>
  <si>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</si>
  <si>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</si>
  <si>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</si>
  <si>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</si>
  <si>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</si>
  <si>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</si>
  <si>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</si>
  <si>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</si>
  <si>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</si>
  <si>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</si>
  <si>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</si>
  <si>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</si>
  <si>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</si>
  <si>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</si>
  <si>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</si>
  <si>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</si>
  <si>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</si>
  <si>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</si>
  <si>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</si>
  <si>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</si>
  <si>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</si>
  <si>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</si>
  <si>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</si>
  <si>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</si>
  <si>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</si>
  <si>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</si>
  <si>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</si>
  <si>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</si>
  <si>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</si>
  <si>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</si>
  <si>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</si>
  <si>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</si>
  <si>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</si>
  <si>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</si>
  <si>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</si>
  <si>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</si>
  <si>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</si>
  <si>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</si>
  <si>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</si>
  <si>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</si>
  <si>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</si>
  <si>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</si>
  <si>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</si>
  <si>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</si>
  <si>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</si>
  <si>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</si>
  <si>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</si>
  <si>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</si>
  <si>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</si>
  <si>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</si>
  <si>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</si>
  <si>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</si>
  <si>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</si>
  <si>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</si>
  <si>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</si>
  <si>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</si>
  <si>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</si>
  <si>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</si>
  <si>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</si>
  <si>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</si>
  <si>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</si>
  <si>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</si>
  <si>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</si>
  <si>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</si>
  <si>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</si>
  <si>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</si>
  <si>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</si>
  <si>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</si>
  <si>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</si>
  <si>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</si>
  <si>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</si>
  <si>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</si>
  <si>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</si>
  <si>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</si>
  <si>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</si>
  <si>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</si>
  <si>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</si>
  <si>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</si>
  <si>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</si>
  <si>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</si>
  <si>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</si>
  <si>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</si>
  <si>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</si>
  <si>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</si>
  <si>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</si>
  <si>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</si>
  <si>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</si>
  <si>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</si>
  <si>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</si>
  <si>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</si>
  <si>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</si>
  <si>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</si>
  <si>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</si>
  <si>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</si>
  <si>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</si>
  <si>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</si>
  <si>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</si>
  <si>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</si>
  <si>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</si>
  <si>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</si>
  <si>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</si>
  <si>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</si>
  <si>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</si>
  <si>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</si>
  <si>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</si>
  <si>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</si>
  <si>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</si>
  <si>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</si>
  <si>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</si>
  <si>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</si>
  <si>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</si>
  <si>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</si>
  <si>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</si>
  <si>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</si>
  <si>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</si>
  <si>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</si>
  <si>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</si>
  <si>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</si>
  <si>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</si>
  <si>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</si>
  <si>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</si>
  <si>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</si>
  <si>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</si>
  <si>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</si>
  <si>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</si>
  <si>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</si>
  <si>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</si>
  <si>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</si>
  <si>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</si>
  <si>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</si>
  <si>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</si>
  <si>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</si>
  <si>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</si>
  <si>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</si>
  <si>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</si>
  <si>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</si>
  <si>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</si>
  <si>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</si>
  <si>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</si>
  <si>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</si>
  <si>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</si>
  <si>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</si>
  <si>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</si>
  <si>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</si>
  <si>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</si>
  <si>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</si>
  <si>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</si>
  <si>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</si>
  <si>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</si>
  <si>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</si>
  <si>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</si>
  <si>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</si>
  <si>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</si>
  <si>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</si>
  <si>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</si>
  <si>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</si>
  <si>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</si>
  <si>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</si>
  <si>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</si>
  <si>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</si>
  <si>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</si>
  <si>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</si>
  <si>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</si>
  <si>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</si>
  <si>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</si>
  <si>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</si>
  <si>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</si>
  <si>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</si>
  <si>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</si>
  <si>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</si>
  <si>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</si>
  <si>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</si>
  <si>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</si>
  <si>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</si>
  <si>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</si>
  <si>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</si>
  <si>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</si>
  <si>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</si>
  <si>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</si>
  <si>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</si>
  <si>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</si>
  <si>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</si>
  <si>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</si>
  <si>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</si>
  <si>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</si>
  <si>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</si>
  <si>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</si>
  <si>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</si>
  <si>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</si>
  <si>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</si>
  <si>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July, 2020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</si>
  <si>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</si>
  <si>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</si>
  <si>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</si>
  <si>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</si>
  <si>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</si>
  <si>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</si>
  <si>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</si>
  <si>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</si>
  <si>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</si>
  <si>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</si>
  <si>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</si>
  <si>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</si>
  <si>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</si>
  <si>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</si>
  <si>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</si>
  <si>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</si>
  <si>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</si>
  <si>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</si>
  <si>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</si>
  <si>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</si>
  <si>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</si>
  <si>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</si>
  <si>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</si>
  <si>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</si>
  <si>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</si>
  <si>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</si>
  <si>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</si>
  <si>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</si>
  <si>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</si>
  <si>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</si>
  <si>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</si>
  <si>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</si>
  <si>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</si>
  <si>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</si>
  <si>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</si>
  <si>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</si>
  <si>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</si>
  <si>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</si>
  <si>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</si>
  <si>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</si>
  <si>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</si>
  <si>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</si>
  <si>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</si>
  <si>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</si>
  <si>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</si>
  <si>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</si>
  <si>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</si>
  <si>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</si>
  <si>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</si>
  <si>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</si>
  <si>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</si>
  <si>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</si>
  <si>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</si>
  <si>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</si>
  <si>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</si>
  <si>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</si>
  <si>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</si>
  <si>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</si>
  <si>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</si>
  <si>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</si>
  <si>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</si>
  <si>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</si>
  <si>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</si>
  <si>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</si>
  <si>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</si>
  <si>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</si>
  <si>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</si>
  <si>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</si>
  <si>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</si>
  <si>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</si>
  <si>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44043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</si>
  <si>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</si>
  <si>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</si>
  <si>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</si>
  <si>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</si>
  <si>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</si>
  <si>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</si>
  <si>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</si>
  <si>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</si>
  <si>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</si>
  <si>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</si>
  <si>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</si>
  <si>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</si>
  <si>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</si>
  <si>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</si>
  <si>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 SERV FED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</si>
  <si>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</si>
  <si>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</si>
  <si>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</si>
  <si>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</si>
  <si>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</si>
  <si>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</si>
  <si>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</si>
  <si>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</si>
  <si>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</si>
  <si>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</si>
  <si>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</si>
  <si>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</si>
  <si>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</si>
  <si>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</si>
  <si>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</si>
  <si>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</si>
  <si>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</si>
  <si>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</si>
  <si>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</si>
  <si>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</si>
  <si>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</si>
  <si>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</si>
  <si>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</si>
  <si>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</si>
  <si>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</si>
  <si>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</si>
  <si>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</si>
  <si>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</si>
  <si>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</si>
  <si>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</si>
  <si>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</si>
  <si>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</si>
  <si>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</si>
  <si>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</si>
  <si>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</si>
  <si>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</si>
  <si>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</si>
  <si>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</si>
  <si>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</si>
  <si>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</si>
  <si>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</si>
  <si>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</si>
  <si>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</si>
  <si>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</si>
  <si>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</si>
  <si>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</si>
  <si>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</si>
  <si>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</si>
  <si>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</si>
  <si>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</si>
  <si>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</si>
  <si>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</si>
  <si>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</si>
  <si>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</si>
  <si>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</si>
  <si>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</si>
  <si>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</si>
  <si>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</si>
  <si>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</si>
  <si>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</si>
  <si>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</si>
  <si>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</si>
  <si>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</si>
  <si>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</si>
  <si>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</si>
  <si>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</si>
  <si>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</si>
  <si>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</si>
  <si>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</si>
  <si>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</si>
  <si>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</si>
  <si>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</si>
  <si>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</si>
  <si>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</si>
  <si>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</si>
  <si>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</si>
  <si>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</si>
  <si>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</si>
  <si>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0146</t>
  </si>
  <si>
    <t>VICTIMS OF CRIME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</si>
  <si>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</si>
  <si>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</si>
  <si>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</si>
  <si>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</si>
  <si>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</si>
  <si>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</si>
  <si>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</si>
  <si>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</si>
  <si>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</si>
  <si>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</si>
  <si>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</si>
  <si>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</si>
  <si>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</si>
  <si>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</si>
  <si>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</si>
  <si>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</si>
  <si>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</si>
  <si>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</si>
  <si>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</si>
  <si>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</si>
  <si>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</si>
  <si>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</si>
  <si>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</si>
  <si>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</si>
  <si>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</si>
  <si>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</si>
  <si>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</si>
  <si>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</si>
  <si>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</si>
  <si>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</si>
  <si>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</si>
  <si>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</si>
  <si>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</si>
  <si>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</si>
  <si>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</si>
  <si>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</si>
  <si>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</si>
  <si>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</si>
  <si>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</si>
  <si>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</si>
  <si>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</si>
  <si>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</si>
  <si>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</si>
  <si>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</si>
  <si>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</si>
  <si>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</si>
  <si>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</si>
  <si>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</si>
  <si>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</si>
  <si>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</si>
  <si>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</si>
  <si>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</si>
  <si>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</si>
  <si>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</si>
  <si>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</si>
  <si>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</si>
  <si>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</si>
  <si>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</si>
  <si>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</si>
  <si>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</si>
  <si>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</si>
  <si>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</si>
  <si>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</si>
  <si>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</si>
  <si>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</si>
  <si>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</si>
  <si>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</si>
  <si>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</si>
  <si>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</si>
  <si>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</si>
  <si>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</si>
  <si>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</si>
  <si>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</si>
  <si>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</si>
  <si>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</si>
  <si>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</si>
  <si>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</si>
  <si>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</si>
  <si>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</si>
  <si>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</si>
  <si>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</si>
  <si>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</si>
  <si>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</si>
  <si>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</si>
  <si>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</si>
  <si>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</si>
  <si>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</si>
  <si>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</si>
  <si>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</si>
  <si>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</si>
  <si>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</si>
  <si>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</si>
  <si>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</si>
  <si>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</si>
  <si>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</si>
  <si>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</si>
  <si>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</si>
  <si>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</si>
  <si>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</si>
  <si>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</si>
  <si>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</si>
  <si>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</si>
  <si>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</si>
  <si>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</si>
  <si>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</si>
  <si>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</si>
  <si>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</si>
  <si>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</si>
  <si>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</si>
  <si>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</si>
  <si>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</si>
  <si>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</si>
  <si>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</si>
  <si>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</si>
  <si>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</si>
  <si>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</si>
  <si>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</si>
  <si>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</si>
  <si>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</si>
  <si>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</si>
  <si>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</si>
  <si>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</si>
  <si>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</si>
  <si>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</si>
  <si>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</si>
  <si>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</si>
  <si>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</si>
  <si>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</si>
  <si>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</si>
  <si>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</si>
  <si>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</si>
  <si>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</si>
  <si>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</si>
  <si>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</si>
  <si>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</si>
  <si>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</si>
  <si>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</si>
  <si>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</si>
  <si>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</si>
  <si>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</si>
  <si>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</si>
  <si>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</si>
  <si>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</si>
  <si>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</si>
  <si>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</si>
  <si>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</si>
  <si>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</si>
  <si>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</si>
  <si>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</si>
  <si>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</si>
  <si>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</si>
  <si>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</si>
  <si>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</si>
  <si>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</si>
  <si>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</si>
  <si>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</si>
  <si>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</si>
  <si>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</si>
  <si>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</si>
  <si>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</si>
  <si>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</si>
  <si>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</si>
  <si>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</si>
  <si>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</si>
  <si>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</si>
  <si>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</si>
  <si>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</si>
  <si>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</si>
  <si>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</si>
  <si>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</si>
  <si>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</si>
  <si>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</si>
  <si>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</si>
  <si>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</si>
  <si>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</si>
  <si>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</si>
  <si>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</si>
  <si>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</si>
  <si>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</si>
  <si>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</si>
  <si>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</si>
  <si>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</si>
  <si>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</si>
  <si>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</si>
  <si>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</si>
  <si>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</si>
  <si>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</si>
  <si>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</si>
  <si>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</si>
  <si>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</si>
  <si>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</si>
  <si>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</si>
  <si>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</si>
  <si>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</si>
  <si>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</si>
  <si>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</si>
  <si>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</si>
  <si>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</si>
  <si>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</si>
  <si>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</si>
  <si>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</si>
  <si>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</si>
  <si>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</si>
  <si>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</si>
  <si>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</si>
  <si>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</si>
  <si>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</si>
  <si>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</si>
  <si>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</si>
  <si>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</si>
  <si>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</si>
  <si>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</si>
  <si>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</si>
  <si>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</si>
  <si>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</si>
  <si>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</si>
  <si>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</si>
  <si>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</si>
  <si>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</si>
  <si>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</si>
  <si>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</si>
  <si>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</si>
  <si>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</si>
  <si>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</si>
  <si>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</si>
  <si>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</si>
  <si>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</si>
  <si>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</si>
  <si>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</si>
  <si>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</si>
  <si>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</si>
  <si>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</si>
  <si>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</si>
  <si>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</si>
  <si>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</si>
  <si>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</si>
  <si>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</si>
  <si>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</si>
  <si>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</si>
  <si>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</si>
  <si>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</si>
  <si>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</si>
  <si>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</si>
  <si>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</si>
  <si>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</si>
  <si>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</si>
  <si>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</si>
  <si>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</si>
  <si>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</si>
  <si>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</si>
  <si>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</si>
  <si>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</si>
  <si>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</si>
  <si>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</si>
  <si>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</si>
  <si>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</si>
  <si>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</si>
  <si>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</si>
  <si>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</si>
  <si>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</si>
  <si>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</si>
  <si>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</si>
  <si>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</si>
  <si>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</si>
  <si>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</si>
  <si>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</si>
  <si>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</si>
  <si>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</si>
  <si>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</si>
  <si>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</si>
  <si>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</si>
  <si>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</si>
  <si>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</si>
  <si>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</si>
  <si>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</si>
  <si>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</si>
  <si>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</si>
  <si>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</si>
  <si>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</si>
  <si>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</si>
  <si>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</si>
  <si>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</si>
  <si>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</si>
  <si>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</si>
  <si>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</si>
  <si>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</si>
  <si>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</si>
  <si>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</si>
  <si>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</si>
  <si>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</si>
  <si>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</si>
  <si>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</si>
  <si>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</si>
  <si>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</si>
  <si>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</si>
  <si>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</si>
  <si>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</si>
  <si>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</si>
  <si>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</si>
  <si>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</si>
  <si>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</si>
  <si>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</si>
  <si>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</si>
  <si>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</si>
  <si>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</si>
  <si>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</si>
  <si>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</si>
  <si>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</si>
  <si>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</si>
  <si>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</si>
  <si>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</si>
  <si>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</si>
  <si>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</si>
  <si>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</si>
  <si>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</si>
  <si>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</si>
  <si>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</si>
  <si>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</si>
  <si>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</si>
  <si>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</si>
  <si>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</si>
  <si>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</si>
  <si>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</si>
  <si>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</si>
  <si>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</si>
  <si>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</si>
  <si>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</si>
  <si>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</si>
  <si>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</si>
  <si>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</si>
  <si>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</si>
  <si>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</si>
  <si>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</si>
  <si>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</si>
  <si>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</si>
  <si>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</si>
  <si>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</si>
  <si>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</si>
  <si>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</si>
  <si>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</si>
  <si>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</si>
  <si>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</si>
  <si>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</si>
  <si>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</si>
  <si>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</si>
  <si>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</si>
  <si>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</si>
  <si>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</si>
  <si>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</si>
  <si>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</si>
  <si>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</si>
  <si>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</si>
  <si>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</si>
  <si>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</si>
  <si>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</si>
  <si>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</si>
  <si>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</si>
  <si>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</si>
  <si>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</si>
  <si>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</si>
  <si>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</si>
  <si>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</si>
  <si>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</si>
  <si>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</si>
  <si>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</si>
  <si>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</si>
  <si>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</si>
  <si>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</si>
  <si>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</si>
  <si>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</si>
  <si>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</si>
  <si>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</si>
  <si>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</si>
  <si>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</si>
  <si>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</si>
  <si>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</si>
  <si>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</si>
  <si>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</si>
  <si>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</si>
  <si>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</si>
  <si>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</si>
  <si>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</si>
  <si>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</si>
  <si>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</si>
  <si>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</si>
  <si>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</si>
  <si>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</si>
  <si>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</si>
  <si>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</si>
  <si>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</si>
  <si>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</si>
  <si>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</si>
  <si>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</si>
  <si>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</si>
  <si>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</si>
  <si>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</si>
  <si>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</si>
  <si>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</si>
  <si>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</si>
  <si>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</si>
  <si>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</si>
  <si>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</si>
  <si>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</si>
  <si>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</si>
  <si>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</si>
  <si>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</si>
  <si>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</si>
  <si>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</si>
  <si>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</si>
  <si>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</si>
  <si>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</si>
  <si>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</si>
  <si>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</si>
  <si>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</si>
  <si>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</si>
  <si>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</si>
  <si>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</si>
  <si>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</si>
  <si>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</si>
  <si>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</si>
  <si>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</si>
  <si>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</si>
  <si>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</si>
  <si>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</si>
  <si>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</si>
  <si>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</si>
  <si>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</si>
  <si>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</si>
  <si>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</si>
  <si>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</si>
  <si>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</si>
  <si>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</si>
  <si>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</si>
  <si>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</si>
  <si>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</si>
  <si>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</si>
  <si>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</si>
  <si>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</si>
  <si>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</si>
  <si>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</si>
  <si>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</si>
  <si>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</si>
  <si>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</si>
  <si>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</si>
  <si>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</si>
  <si>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</si>
  <si>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</si>
  <si>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</si>
  <si>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</si>
  <si>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</si>
  <si>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</si>
  <si>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</si>
  <si>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</si>
  <si>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</si>
  <si>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</si>
  <si>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</si>
  <si>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</si>
  <si>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</si>
  <si>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COMM ASST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</si>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</sst>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44013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07/01/2020..07/31/2020</v>
      </c>
    </row>
    <row r="6" spans="1:12" x14ac:dyDescent="0.25">
      <c r="C6" t="s">
        <v>4</v>
      </c>
      <c r="D6" s="3">
        <v>44043</v>
      </c>
      <c r="K6" s="2">
        <v>44012</v>
      </c>
      <c r="L6" t="str">
        <f>TEXT(PrevStartDate,"mm/dd/yyyy")&amp;".."&amp;TEXT(PrevEndDate,"mm/dd/yyyy")</f>
        <v>07/01/2009..06/30/2020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0"/>
  <sheetViews>
    <sheetView tabSelected="1" topLeftCell="D688" zoomScaleNormal="100" workbookViewId="0">
      <selection activeCell="D779" sqref="A779:XFD779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2851562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10667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44043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10652</v>
      </c>
      <c r="D12" t="s">
        <v>10739</v>
      </c>
      <c r="E12" t="s">
        <v>10740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10741</v>
      </c>
      <c r="E13" s="16" t="s">
        <v>10742</v>
      </c>
      <c r="F13" s="18">
        <v>652282121.45000005</v>
      </c>
      <c r="G13" s="18">
        <v>559252.66999999993</v>
      </c>
      <c r="H13" s="18">
        <v>0</v>
      </c>
      <c r="I13" s="18">
        <v>14002.04</v>
      </c>
      <c r="J13" s="18">
        <v>51307865.999999993</v>
      </c>
      <c r="K13" s="18">
        <v>0</v>
      </c>
      <c r="L13" s="18">
        <v>0</v>
      </c>
      <c r="M13" s="20">
        <v>601547510.15999997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12261</v>
      </c>
      <c r="E14" s="16" t="s">
        <v>10743</v>
      </c>
      <c r="F14" s="18">
        <v>802889192.11000001</v>
      </c>
      <c r="G14" s="18">
        <v>1257552277.23</v>
      </c>
      <c r="H14" s="18">
        <v>690688144.61000001</v>
      </c>
      <c r="I14" s="18">
        <v>173814259.22</v>
      </c>
      <c r="J14" s="18">
        <v>210245372.32000002</v>
      </c>
      <c r="K14" s="18">
        <v>42196.26</v>
      </c>
      <c r="L14" s="18">
        <v>11699559.210000001</v>
      </c>
      <c r="M14" s="20">
        <v>1321664848.6800001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10744</v>
      </c>
      <c r="E15" s="16" t="s">
        <v>10745</v>
      </c>
      <c r="F15" s="18">
        <v>4300497.3099999996</v>
      </c>
      <c r="G15" s="18">
        <v>5107458.79</v>
      </c>
      <c r="H15" s="18">
        <v>7222288.9600000009</v>
      </c>
      <c r="I15" s="18">
        <v>0</v>
      </c>
      <c r="J15" s="18">
        <v>1414145.59</v>
      </c>
      <c r="K15" s="18">
        <v>44.31</v>
      </c>
      <c r="L15" s="18">
        <v>73016.92</v>
      </c>
      <c r="M15" s="20">
        <v>698548.94000000006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10746</v>
      </c>
      <c r="E16" s="16" t="s">
        <v>10747</v>
      </c>
      <c r="F16" s="18">
        <v>12884365.639999999</v>
      </c>
      <c r="G16" s="18">
        <v>25796984.449999999</v>
      </c>
      <c r="H16" s="18">
        <v>26072024.600000001</v>
      </c>
      <c r="I16" s="18">
        <v>0</v>
      </c>
      <c r="J16" s="18">
        <v>357713.33</v>
      </c>
      <c r="K16" s="18">
        <v>0</v>
      </c>
      <c r="L16" s="18">
        <v>60271.79</v>
      </c>
      <c r="M16" s="20">
        <v>12191340.369999999</v>
      </c>
      <c r="N16" s="20"/>
      <c r="O16" s="19"/>
    </row>
    <row r="17" spans="1:15" s="16" customFormat="1" hidden="1" x14ac:dyDescent="0.25">
      <c r="A17" s="16" t="s">
        <v>51</v>
      </c>
      <c r="B17" s="16" t="str">
        <f t="shared" si="0"/>
        <v>show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10748</v>
      </c>
      <c r="E17" s="16" t="s">
        <v>10749</v>
      </c>
      <c r="F17" s="18">
        <v>0</v>
      </c>
      <c r="G17" s="18">
        <v>0</v>
      </c>
      <c r="H17" s="18">
        <v>-1006.6299999999999</v>
      </c>
      <c r="I17" s="18">
        <v>0</v>
      </c>
      <c r="J17" s="18">
        <v>0</v>
      </c>
      <c r="K17" s="18">
        <v>0</v>
      </c>
      <c r="L17" s="18">
        <v>0</v>
      </c>
      <c r="M17" s="20">
        <v>1006.6299999999999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10750</v>
      </c>
      <c r="E18" s="16" t="s">
        <v>10751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10752</v>
      </c>
      <c r="E19" s="16" t="s">
        <v>10753</v>
      </c>
      <c r="F19" s="18">
        <v>0</v>
      </c>
      <c r="G19" s="18">
        <v>1350</v>
      </c>
      <c r="H19" s="18">
        <v>78311.3</v>
      </c>
      <c r="I19" s="18">
        <v>130760.98000000001</v>
      </c>
      <c r="J19" s="18">
        <v>11007.279999999999</v>
      </c>
      <c r="K19" s="18">
        <v>47812.28</v>
      </c>
      <c r="L19" s="18">
        <v>0</v>
      </c>
      <c r="M19" s="20">
        <v>90604.68</v>
      </c>
      <c r="N19" s="20"/>
      <c r="O19" s="19"/>
    </row>
    <row r="20" spans="1:15" s="16" customFormat="1" hidden="1" x14ac:dyDescent="0.25">
      <c r="A20" s="16" t="s">
        <v>51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10754</v>
      </c>
      <c r="E20" s="16" t="s">
        <v>10755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10756</v>
      </c>
      <c r="E21" s="16" t="s">
        <v>10757</v>
      </c>
      <c r="F21" s="18">
        <v>0.39</v>
      </c>
      <c r="G21" s="18">
        <v>23198727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23198727.390000001</v>
      </c>
      <c r="N21" s="20"/>
      <c r="O21" s="19"/>
    </row>
    <row r="22" spans="1:15" s="16" customFormat="1" x14ac:dyDescent="0.25">
      <c r="A22" s="16" t="s">
        <v>51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10758</v>
      </c>
      <c r="E22" s="16" t="s">
        <v>10759</v>
      </c>
      <c r="F22" s="18">
        <v>181887.62</v>
      </c>
      <c r="G22" s="18">
        <v>0</v>
      </c>
      <c r="H22" s="18">
        <v>95087.540000000008</v>
      </c>
      <c r="I22" s="18">
        <v>0</v>
      </c>
      <c r="J22" s="18">
        <v>0</v>
      </c>
      <c r="K22" s="18">
        <v>129419.36</v>
      </c>
      <c r="L22" s="18">
        <v>0</v>
      </c>
      <c r="M22" s="20">
        <v>216219.43999999997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10760</v>
      </c>
      <c r="E23" s="16" t="s">
        <v>10761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10762</v>
      </c>
      <c r="E24" s="16" t="s">
        <v>10763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10764</v>
      </c>
      <c r="E25" s="16" t="s">
        <v>10765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10766</v>
      </c>
      <c r="E26" s="16" t="s">
        <v>10767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10768</v>
      </c>
      <c r="E27" s="16" t="s">
        <v>10769</v>
      </c>
      <c r="F27" s="18">
        <v>655846.67999999993</v>
      </c>
      <c r="G27" s="18">
        <v>24554650.73</v>
      </c>
      <c r="H27" s="18">
        <v>16165838.440000001</v>
      </c>
      <c r="I27" s="18">
        <v>0</v>
      </c>
      <c r="J27" s="18">
        <v>704125.59</v>
      </c>
      <c r="K27" s="18">
        <v>0</v>
      </c>
      <c r="L27" s="18">
        <v>106.69000000000001</v>
      </c>
      <c r="M27" s="20">
        <v>8340426.6900000004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10770</v>
      </c>
      <c r="E28" s="16" t="s">
        <v>10771</v>
      </c>
      <c r="F28" s="18">
        <v>831309.14999999991</v>
      </c>
      <c r="G28" s="18">
        <v>0</v>
      </c>
      <c r="H28" s="18">
        <v>100577.28</v>
      </c>
      <c r="I28" s="18">
        <v>0</v>
      </c>
      <c r="J28" s="18">
        <v>49674.58</v>
      </c>
      <c r="K28" s="18">
        <v>0</v>
      </c>
      <c r="L28" s="18">
        <v>582.59</v>
      </c>
      <c r="M28" s="20">
        <v>680474.7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10772</v>
      </c>
      <c r="E29" s="16" t="s">
        <v>10773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10774</v>
      </c>
      <c r="E30" s="16" t="s">
        <v>10775</v>
      </c>
      <c r="F30" s="18">
        <v>618747.32999999996</v>
      </c>
      <c r="G30" s="18">
        <v>378162.35000000003</v>
      </c>
      <c r="H30" s="18">
        <v>48968.4</v>
      </c>
      <c r="I30" s="18">
        <v>0</v>
      </c>
      <c r="J30" s="18">
        <v>28331.7</v>
      </c>
      <c r="K30" s="18">
        <v>0</v>
      </c>
      <c r="L30" s="18">
        <v>1488.56</v>
      </c>
      <c r="M30" s="20">
        <v>918121.02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10776</v>
      </c>
      <c r="E31" s="16" t="s">
        <v>10777</v>
      </c>
      <c r="F31" s="18">
        <v>2818538.4899999998</v>
      </c>
      <c r="G31" s="18">
        <v>1679096.96</v>
      </c>
      <c r="H31" s="18">
        <v>1854393.96</v>
      </c>
      <c r="I31" s="18">
        <v>0</v>
      </c>
      <c r="J31" s="18">
        <v>0</v>
      </c>
      <c r="K31" s="18">
        <v>0</v>
      </c>
      <c r="L31" s="18">
        <v>0</v>
      </c>
      <c r="M31" s="20">
        <v>2643241.4900000002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10778</v>
      </c>
      <c r="E32" s="16" t="s">
        <v>10779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10780</v>
      </c>
      <c r="E33" s="16" t="s">
        <v>10781</v>
      </c>
      <c r="F33" s="18">
        <v>1519442.5699999998</v>
      </c>
      <c r="G33" s="18">
        <v>1117184.82</v>
      </c>
      <c r="H33" s="18">
        <v>73732.73</v>
      </c>
      <c r="I33" s="18">
        <v>0</v>
      </c>
      <c r="J33" s="18">
        <v>75014.460000000006</v>
      </c>
      <c r="K33" s="18">
        <v>4.29</v>
      </c>
      <c r="L33" s="18">
        <v>16462.600000000002</v>
      </c>
      <c r="M33" s="20">
        <v>2471421.8899999997</v>
      </c>
      <c r="N33" s="20"/>
      <c r="O33" s="19"/>
    </row>
    <row r="34" spans="1:15" s="16" customFormat="1" hidden="1" x14ac:dyDescent="0.25">
      <c r="A34" s="16" t="s">
        <v>51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10782</v>
      </c>
      <c r="E34" s="16" t="s">
        <v>10783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10784</v>
      </c>
      <c r="E35" s="16" t="s">
        <v>10785</v>
      </c>
      <c r="F35" s="18">
        <v>419847.59</v>
      </c>
      <c r="G35" s="18">
        <v>1650.65</v>
      </c>
      <c r="H35" s="18">
        <v>376135.61</v>
      </c>
      <c r="I35" s="18">
        <v>651558</v>
      </c>
      <c r="J35" s="18">
        <v>188573.51</v>
      </c>
      <c r="K35" s="18">
        <v>0</v>
      </c>
      <c r="L35" s="18">
        <v>85937.04</v>
      </c>
      <c r="M35" s="20">
        <v>422410.08</v>
      </c>
      <c r="N35" s="20"/>
      <c r="O35" s="19"/>
    </row>
    <row r="36" spans="1:15" s="16" customFormat="1" x14ac:dyDescent="0.25">
      <c r="A36" s="16" t="s">
        <v>51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10786</v>
      </c>
      <c r="E36" s="16" t="s">
        <v>10787</v>
      </c>
      <c r="F36" s="18">
        <v>23165.85</v>
      </c>
      <c r="G36" s="18">
        <v>110553.26000000001</v>
      </c>
      <c r="H36" s="18">
        <v>71481.52</v>
      </c>
      <c r="I36" s="18">
        <v>0</v>
      </c>
      <c r="J36" s="18">
        <v>40578.75</v>
      </c>
      <c r="K36" s="18">
        <v>0</v>
      </c>
      <c r="L36" s="18">
        <v>369.55</v>
      </c>
      <c r="M36" s="20">
        <v>21289.29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10788</v>
      </c>
      <c r="E37" s="16" t="s">
        <v>10789</v>
      </c>
      <c r="F37" s="18">
        <v>59547714.450000003</v>
      </c>
      <c r="G37" s="18">
        <v>64866.840000000004</v>
      </c>
      <c r="H37" s="18">
        <v>1833872.2100000002</v>
      </c>
      <c r="I37" s="18">
        <v>0</v>
      </c>
      <c r="J37" s="18">
        <v>0</v>
      </c>
      <c r="K37" s="18">
        <v>0</v>
      </c>
      <c r="L37" s="18">
        <v>0</v>
      </c>
      <c r="M37" s="20">
        <v>57778709.079999998</v>
      </c>
      <c r="N37" s="20"/>
      <c r="O37" s="19"/>
    </row>
    <row r="38" spans="1:15" s="16" customFormat="1" hidden="1" x14ac:dyDescent="0.25">
      <c r="A38" s="16" t="s">
        <v>51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10790</v>
      </c>
      <c r="E38" s="16" t="s">
        <v>10791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10792</v>
      </c>
      <c r="E39" s="16" t="s">
        <v>10793</v>
      </c>
      <c r="F39" s="18">
        <v>2225396.0499999998</v>
      </c>
      <c r="G39" s="18">
        <v>3173753.28</v>
      </c>
      <c r="H39" s="18">
        <v>3174482.4099999997</v>
      </c>
      <c r="I39" s="18">
        <v>0</v>
      </c>
      <c r="J39" s="18">
        <v>1657.8400000000001</v>
      </c>
      <c r="K39" s="18">
        <v>0</v>
      </c>
      <c r="L39" s="18">
        <v>34.14</v>
      </c>
      <c r="M39" s="20">
        <v>2222974.94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10794</v>
      </c>
      <c r="E40" s="16" t="s">
        <v>10795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10796</v>
      </c>
      <c r="E41" s="16" t="s">
        <v>10797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10798</v>
      </c>
      <c r="E42" s="16" t="s">
        <v>10799</v>
      </c>
      <c r="F42" s="18">
        <v>193354.72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193354.72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10800</v>
      </c>
      <c r="E43" s="16" t="s">
        <v>10801</v>
      </c>
      <c r="F43" s="18">
        <v>586621.47000000009</v>
      </c>
      <c r="G43" s="18">
        <v>0</v>
      </c>
      <c r="H43" s="18">
        <v>139495.17000000001</v>
      </c>
      <c r="I43" s="18">
        <v>0</v>
      </c>
      <c r="J43" s="18">
        <v>68020.31</v>
      </c>
      <c r="K43" s="18">
        <v>164676.16999999998</v>
      </c>
      <c r="L43" s="18">
        <v>208.99</v>
      </c>
      <c r="M43" s="20">
        <v>543573.17000000004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10802</v>
      </c>
      <c r="E44" s="16" t="s">
        <v>10803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10804</v>
      </c>
      <c r="E45" s="16" t="s">
        <v>10805</v>
      </c>
      <c r="F45" s="18">
        <v>2916288.08</v>
      </c>
      <c r="G45" s="18">
        <v>357828</v>
      </c>
      <c r="H45" s="18">
        <v>12375.02</v>
      </c>
      <c r="I45" s="18">
        <v>0</v>
      </c>
      <c r="J45" s="18">
        <v>7275.63</v>
      </c>
      <c r="K45" s="18">
        <v>0</v>
      </c>
      <c r="L45" s="18">
        <v>527.92000000000007</v>
      </c>
      <c r="M45" s="20">
        <v>3253937.5100000002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10806</v>
      </c>
      <c r="E46" s="16" t="s">
        <v>10807</v>
      </c>
      <c r="F46" s="18">
        <v>1868096.4799999997</v>
      </c>
      <c r="G46" s="18">
        <v>790051.50000000012</v>
      </c>
      <c r="H46" s="18">
        <v>271759.68</v>
      </c>
      <c r="I46" s="18">
        <v>0</v>
      </c>
      <c r="J46" s="18">
        <v>91284</v>
      </c>
      <c r="K46" s="18">
        <v>0</v>
      </c>
      <c r="L46" s="18">
        <v>3467.2</v>
      </c>
      <c r="M46" s="20">
        <v>2291637.1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10808</v>
      </c>
      <c r="E47" s="16" t="s">
        <v>10809</v>
      </c>
      <c r="F47" s="18">
        <v>930.1099999999999</v>
      </c>
      <c r="G47" s="18">
        <v>9.09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939.2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10810</v>
      </c>
      <c r="E48" s="16" t="s">
        <v>10811</v>
      </c>
      <c r="F48" s="18">
        <v>785301.15</v>
      </c>
      <c r="G48" s="18">
        <v>116240.34000000001</v>
      </c>
      <c r="H48" s="18">
        <v>12180.64</v>
      </c>
      <c r="I48" s="18">
        <v>0</v>
      </c>
      <c r="J48" s="18">
        <v>6237.62</v>
      </c>
      <c r="K48" s="18">
        <v>0</v>
      </c>
      <c r="L48" s="18">
        <v>234.44</v>
      </c>
      <c r="M48" s="20">
        <v>882888.78999999992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10812</v>
      </c>
      <c r="E49" s="16" t="s">
        <v>10813</v>
      </c>
      <c r="F49" s="18">
        <v>844423.35</v>
      </c>
      <c r="G49" s="18">
        <v>554701.94000000006</v>
      </c>
      <c r="H49" s="18">
        <v>369942.64</v>
      </c>
      <c r="I49" s="18">
        <v>0</v>
      </c>
      <c r="J49" s="18">
        <v>195534.17</v>
      </c>
      <c r="K49" s="18">
        <v>22517.73</v>
      </c>
      <c r="L49" s="18">
        <v>3364.99</v>
      </c>
      <c r="M49" s="20">
        <v>852801.22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10814</v>
      </c>
      <c r="E50" s="16" t="s">
        <v>10815</v>
      </c>
      <c r="F50" s="18">
        <v>1530968.45</v>
      </c>
      <c r="G50" s="18">
        <v>413313.42999999993</v>
      </c>
      <c r="H50" s="18">
        <v>167517.66</v>
      </c>
      <c r="I50" s="18">
        <v>12967.5</v>
      </c>
      <c r="J50" s="18">
        <v>83741.36</v>
      </c>
      <c r="K50" s="18">
        <v>406429.58</v>
      </c>
      <c r="L50" s="18">
        <v>72.5</v>
      </c>
      <c r="M50" s="20">
        <v>2112347.44</v>
      </c>
      <c r="N50" s="20"/>
      <c r="O50" s="19"/>
    </row>
    <row r="51" spans="1:15" s="16" customFormat="1" hidden="1" x14ac:dyDescent="0.25">
      <c r="A51" s="16" t="s">
        <v>51</v>
      </c>
      <c r="B51" s="16" t="str">
        <f t="shared" si="0"/>
        <v>hide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10816</v>
      </c>
      <c r="E51" s="16" t="s">
        <v>10817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0">
        <v>0</v>
      </c>
      <c r="N51" s="20"/>
      <c r="O51" s="19"/>
    </row>
    <row r="52" spans="1:15" s="16" customFormat="1" x14ac:dyDescent="0.25">
      <c r="A52" s="16" t="s">
        <v>51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10818</v>
      </c>
      <c r="E52" s="16" t="s">
        <v>10819</v>
      </c>
      <c r="F52" s="18">
        <v>999.86999999999989</v>
      </c>
      <c r="G52" s="18">
        <v>0</v>
      </c>
      <c r="H52" s="18">
        <v>13606223.790000001</v>
      </c>
      <c r="I52" s="18">
        <v>32472768.939999998</v>
      </c>
      <c r="J52" s="18">
        <v>18866545.149999999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10820</v>
      </c>
      <c r="E53" s="16" t="s">
        <v>10821</v>
      </c>
      <c r="F53" s="18">
        <v>11829779.389999999</v>
      </c>
      <c r="G53" s="18">
        <v>2729909.73</v>
      </c>
      <c r="H53" s="18">
        <v>2259730.4700000002</v>
      </c>
      <c r="I53" s="18">
        <v>47063.42</v>
      </c>
      <c r="J53" s="18">
        <v>709338.33</v>
      </c>
      <c r="K53" s="18">
        <v>3227.68</v>
      </c>
      <c r="L53" s="18">
        <v>519.96</v>
      </c>
      <c r="M53" s="20">
        <v>11640391.460000001</v>
      </c>
      <c r="N53" s="20"/>
      <c r="O53" s="19"/>
    </row>
    <row r="54" spans="1:15" s="16" customFormat="1" hidden="1" x14ac:dyDescent="0.25">
      <c r="A54" s="16" t="s">
        <v>51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10822</v>
      </c>
      <c r="E54" s="16" t="s">
        <v>10823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10824</v>
      </c>
      <c r="E55" s="16" t="s">
        <v>10825</v>
      </c>
      <c r="F55" s="18">
        <v>69099356.550000012</v>
      </c>
      <c r="G55" s="18">
        <v>210674779.56</v>
      </c>
      <c r="H55" s="18">
        <v>220101273.71000001</v>
      </c>
      <c r="I55" s="18">
        <v>51472271.999999993</v>
      </c>
      <c r="J55" s="18">
        <v>51472271.999999993</v>
      </c>
      <c r="K55" s="18">
        <v>0</v>
      </c>
      <c r="L55" s="18">
        <v>0</v>
      </c>
      <c r="M55" s="20">
        <v>59672862.399999999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10826</v>
      </c>
      <c r="E56" s="16" t="s">
        <v>10827</v>
      </c>
      <c r="F56" s="18">
        <v>18014927.18</v>
      </c>
      <c r="G56" s="18">
        <v>97486313.659999996</v>
      </c>
      <c r="H56" s="18">
        <v>98077783.959999993</v>
      </c>
      <c r="I56" s="18">
        <v>0</v>
      </c>
      <c r="J56" s="18">
        <v>2254010.4099999997</v>
      </c>
      <c r="K56" s="18">
        <v>30109.64</v>
      </c>
      <c r="L56" s="18">
        <v>151038.9</v>
      </c>
      <c r="M56" s="20">
        <v>15048517.209999999</v>
      </c>
      <c r="N56" s="20"/>
      <c r="O56" s="19"/>
    </row>
    <row r="57" spans="1:15" s="16" customFormat="1" x14ac:dyDescent="0.25">
      <c r="A57" s="16" t="s">
        <v>51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10828</v>
      </c>
      <c r="E57" s="16" t="s">
        <v>10829</v>
      </c>
      <c r="F57" s="18">
        <v>2704101.46</v>
      </c>
      <c r="G57" s="18">
        <v>14721689.17</v>
      </c>
      <c r="H57" s="18">
        <v>8899761.4800000004</v>
      </c>
      <c r="I57" s="18">
        <v>2954771</v>
      </c>
      <c r="J57" s="18">
        <v>2954771</v>
      </c>
      <c r="K57" s="18">
        <v>0</v>
      </c>
      <c r="L57" s="18">
        <v>0</v>
      </c>
      <c r="M57" s="20">
        <v>8526029.1500000004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10830</v>
      </c>
      <c r="E58" s="16" t="s">
        <v>10831</v>
      </c>
      <c r="F58" s="18">
        <v>4737808.33</v>
      </c>
      <c r="G58" s="18">
        <v>675457.63</v>
      </c>
      <c r="H58" s="18">
        <v>636261.15999999992</v>
      </c>
      <c r="I58" s="18">
        <v>0</v>
      </c>
      <c r="J58" s="18">
        <v>76814.930000000008</v>
      </c>
      <c r="K58" s="18">
        <v>0</v>
      </c>
      <c r="L58" s="18">
        <v>35301.919999999998</v>
      </c>
      <c r="M58" s="20">
        <v>4664887.95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10832</v>
      </c>
      <c r="E59" s="16" t="s">
        <v>10833</v>
      </c>
      <c r="F59" s="18">
        <v>0</v>
      </c>
      <c r="G59" s="18">
        <v>3025066.03</v>
      </c>
      <c r="H59" s="18">
        <v>2555399.7800000003</v>
      </c>
      <c r="I59" s="18">
        <v>0</v>
      </c>
      <c r="J59" s="18">
        <v>24246.41</v>
      </c>
      <c r="K59" s="18">
        <v>0</v>
      </c>
      <c r="L59" s="18">
        <v>0</v>
      </c>
      <c r="M59" s="20">
        <v>445419.83999999997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10834</v>
      </c>
      <c r="E60" s="16" t="s">
        <v>10835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10836</v>
      </c>
      <c r="E61" s="16" t="s">
        <v>10837</v>
      </c>
      <c r="F61" s="18">
        <v>67916291.230000004</v>
      </c>
      <c r="G61" s="18">
        <v>144983632.80000001</v>
      </c>
      <c r="H61" s="18">
        <v>108942657.98999999</v>
      </c>
      <c r="I61" s="18">
        <v>0</v>
      </c>
      <c r="J61" s="18">
        <v>29137635.880000003</v>
      </c>
      <c r="K61" s="18">
        <v>76.89</v>
      </c>
      <c r="L61" s="18">
        <v>64298.110000000008</v>
      </c>
      <c r="M61" s="20">
        <v>74755408.939999998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10838</v>
      </c>
      <c r="E62" s="16" t="s">
        <v>10839</v>
      </c>
      <c r="F62" s="18">
        <v>338001.18</v>
      </c>
      <c r="G62" s="18">
        <v>1045251.48</v>
      </c>
      <c r="H62" s="18">
        <v>593035.07000000007</v>
      </c>
      <c r="I62" s="18">
        <v>0</v>
      </c>
      <c r="J62" s="18">
        <v>1453.67</v>
      </c>
      <c r="K62" s="18">
        <v>0</v>
      </c>
      <c r="L62" s="18">
        <v>219176.47999999998</v>
      </c>
      <c r="M62" s="20">
        <v>569587.43999999994</v>
      </c>
      <c r="N62" s="20"/>
      <c r="O62" s="19"/>
    </row>
    <row r="63" spans="1:15" s="16" customFormat="1" hidden="1" x14ac:dyDescent="0.25">
      <c r="A63" s="16" t="s">
        <v>51</v>
      </c>
      <c r="B63" s="16" t="str">
        <f t="shared" si="0"/>
        <v>hide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10840</v>
      </c>
      <c r="E63" s="16" t="s">
        <v>10841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10842</v>
      </c>
      <c r="E64" s="16" t="s">
        <v>10843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10844</v>
      </c>
      <c r="E65" s="16" t="s">
        <v>10845</v>
      </c>
      <c r="F65" s="18">
        <v>2105928.0500000003</v>
      </c>
      <c r="G65" s="18">
        <v>1141441.73</v>
      </c>
      <c r="H65" s="18">
        <v>982893.93</v>
      </c>
      <c r="I65" s="18">
        <v>1216</v>
      </c>
      <c r="J65" s="18">
        <v>28632.559999999998</v>
      </c>
      <c r="K65" s="18">
        <v>182939.48</v>
      </c>
      <c r="L65" s="18">
        <v>456643.00999999995</v>
      </c>
      <c r="M65" s="20">
        <v>1963355.76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10846</v>
      </c>
      <c r="E66" s="16" t="s">
        <v>10847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10848</v>
      </c>
      <c r="E67" s="16" t="s">
        <v>10849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10850</v>
      </c>
      <c r="E68" s="16" t="s">
        <v>10851</v>
      </c>
      <c r="F68" s="18">
        <v>742</v>
      </c>
      <c r="G68" s="18">
        <v>5255378.62</v>
      </c>
      <c r="H68" s="18">
        <v>4700350.3899999997</v>
      </c>
      <c r="I68" s="18">
        <v>4132.5</v>
      </c>
      <c r="J68" s="18">
        <v>524431.79999999993</v>
      </c>
      <c r="K68" s="18">
        <v>0</v>
      </c>
      <c r="L68" s="18">
        <v>34773.03</v>
      </c>
      <c r="M68" s="20">
        <v>697.9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10852</v>
      </c>
      <c r="E69" s="16" t="s">
        <v>10853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10854</v>
      </c>
      <c r="E70" s="16" t="s">
        <v>10855</v>
      </c>
      <c r="F70" s="18">
        <v>24799318.719999999</v>
      </c>
      <c r="G70" s="18">
        <v>-3746680.1199999996</v>
      </c>
      <c r="H70" s="18">
        <v>136957.01999999999</v>
      </c>
      <c r="I70" s="18">
        <v>821000</v>
      </c>
      <c r="J70" s="18">
        <v>12483.369999999999</v>
      </c>
      <c r="K70" s="18">
        <v>0</v>
      </c>
      <c r="L70" s="18">
        <v>0</v>
      </c>
      <c r="M70" s="20">
        <v>21724198.210000001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10856</v>
      </c>
      <c r="E71" s="16" t="s">
        <v>10857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10858</v>
      </c>
      <c r="E72" s="16" t="s">
        <v>10859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10860</v>
      </c>
      <c r="E73" s="16" t="s">
        <v>10861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10862</v>
      </c>
      <c r="E74" s="16" t="s">
        <v>10863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10864</v>
      </c>
      <c r="E75" s="16" t="s">
        <v>10865</v>
      </c>
      <c r="F75" s="18">
        <v>164560597.16</v>
      </c>
      <c r="G75" s="18">
        <v>355201906.78000003</v>
      </c>
      <c r="H75" s="18">
        <v>373298441.35999995</v>
      </c>
      <c r="I75" s="18">
        <v>0</v>
      </c>
      <c r="J75" s="18">
        <v>0</v>
      </c>
      <c r="K75" s="18">
        <v>8.2100000000000009</v>
      </c>
      <c r="L75" s="18">
        <v>19179.600000000002</v>
      </c>
      <c r="M75" s="20">
        <v>146444891.19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10866</v>
      </c>
      <c r="E76" s="16" t="s">
        <v>10867</v>
      </c>
      <c r="F76" s="18">
        <v>1845319.7699999998</v>
      </c>
      <c r="G76" s="18">
        <v>290706.17000000004</v>
      </c>
      <c r="H76" s="18">
        <v>142040.76</v>
      </c>
      <c r="I76" s="18">
        <v>0</v>
      </c>
      <c r="J76" s="18">
        <v>82216.09</v>
      </c>
      <c r="K76" s="18">
        <v>0</v>
      </c>
      <c r="L76" s="18">
        <v>2220.06</v>
      </c>
      <c r="M76" s="20">
        <v>1909549.03</v>
      </c>
      <c r="N76" s="20"/>
      <c r="O76" s="19"/>
    </row>
    <row r="77" spans="1:15" s="16" customFormat="1" x14ac:dyDescent="0.25">
      <c r="A77" s="16" t="s">
        <v>51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10868</v>
      </c>
      <c r="E77" s="16" t="s">
        <v>10869</v>
      </c>
      <c r="F77" s="18">
        <v>5265090.42</v>
      </c>
      <c r="G77" s="18">
        <v>2178742.2799999998</v>
      </c>
      <c r="H77" s="18">
        <v>1150843.92</v>
      </c>
      <c r="I77" s="18">
        <v>100000.00000000001</v>
      </c>
      <c r="J77" s="18">
        <v>361512.25</v>
      </c>
      <c r="K77" s="18">
        <v>1613.8999999999999</v>
      </c>
      <c r="L77" s="18">
        <v>523429.37</v>
      </c>
      <c r="M77" s="20">
        <v>5509661.0599999996</v>
      </c>
      <c r="N77" s="20"/>
      <c r="O77" s="19"/>
    </row>
    <row r="78" spans="1:15" s="16" customFormat="1" hidden="1" x14ac:dyDescent="0.25">
      <c r="A78" s="16" t="s">
        <v>51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10870</v>
      </c>
      <c r="E78" s="16" t="s">
        <v>10871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10872</v>
      </c>
      <c r="E79" s="16" t="s">
        <v>10873</v>
      </c>
      <c r="F79" s="18">
        <v>850.74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850.74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10874</v>
      </c>
      <c r="E80" s="16" t="s">
        <v>10875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10876</v>
      </c>
      <c r="E81" s="16" t="s">
        <v>10877</v>
      </c>
      <c r="F81" s="18">
        <v>10162824.15</v>
      </c>
      <c r="G81" s="18">
        <v>1731907.8599999999</v>
      </c>
      <c r="H81" s="18">
        <v>1021921.4500000001</v>
      </c>
      <c r="I81" s="18">
        <v>0</v>
      </c>
      <c r="J81" s="18">
        <v>633458.72</v>
      </c>
      <c r="K81" s="18">
        <v>0</v>
      </c>
      <c r="L81" s="18">
        <v>8059.9999999999991</v>
      </c>
      <c r="M81" s="20">
        <v>10231291.84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10878</v>
      </c>
      <c r="E82" s="16" t="s">
        <v>10879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10880</v>
      </c>
      <c r="E83" s="16" t="s">
        <v>10881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10882</v>
      </c>
      <c r="E84" s="16" t="s">
        <v>10883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10884</v>
      </c>
      <c r="E85" s="16" t="s">
        <v>10885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25">
      <c r="A86" s="16" t="s">
        <v>51</v>
      </c>
      <c r="B86" s="16" t="str">
        <f t="shared" si="1"/>
        <v>show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10886</v>
      </c>
      <c r="E86" s="16" t="s">
        <v>10887</v>
      </c>
      <c r="F86" s="18">
        <v>0</v>
      </c>
      <c r="G86" s="18">
        <v>0</v>
      </c>
      <c r="H86" s="18">
        <v>432226.7</v>
      </c>
      <c r="I86" s="18">
        <v>432226.7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10888</v>
      </c>
      <c r="E87" s="16" t="s">
        <v>10889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10890</v>
      </c>
      <c r="E88" s="16" t="s">
        <v>10891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10892</v>
      </c>
      <c r="E89" s="16" t="s">
        <v>10893</v>
      </c>
      <c r="F89" s="18">
        <v>43813.06</v>
      </c>
      <c r="G89" s="18">
        <v>73.94</v>
      </c>
      <c r="H89" s="18">
        <v>207932.99999999997</v>
      </c>
      <c r="I89" s="18">
        <v>220432.99999999997</v>
      </c>
      <c r="J89" s="18">
        <v>0</v>
      </c>
      <c r="K89" s="18">
        <v>0</v>
      </c>
      <c r="L89" s="18">
        <v>0</v>
      </c>
      <c r="M89" s="20">
        <v>56387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10894</v>
      </c>
      <c r="E90" s="16" t="s">
        <v>10895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10896</v>
      </c>
      <c r="E91" s="16" t="s">
        <v>10897</v>
      </c>
      <c r="F91" s="18">
        <v>11631099.01</v>
      </c>
      <c r="G91" s="18">
        <v>4289.0600000000004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11635388.07</v>
      </c>
      <c r="N91" s="20"/>
      <c r="O91" s="19"/>
    </row>
    <row r="92" spans="1:15" s="16" customFormat="1" hidden="1" x14ac:dyDescent="0.25">
      <c r="A92" s="16" t="s">
        <v>51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10898</v>
      </c>
      <c r="E92" s="16" t="s">
        <v>10899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10900</v>
      </c>
      <c r="E93" s="16" t="s">
        <v>10901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hidden="1" x14ac:dyDescent="0.25">
      <c r="A94" s="16" t="s">
        <v>51</v>
      </c>
      <c r="B94" s="16" t="str">
        <f t="shared" si="1"/>
        <v>hide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10902</v>
      </c>
      <c r="E94" s="16" t="s">
        <v>10903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51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10904</v>
      </c>
      <c r="E95" s="16" t="s">
        <v>10905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10906</v>
      </c>
      <c r="E96" s="16" t="s">
        <v>10907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10908</v>
      </c>
      <c r="E97" s="16" t="s">
        <v>10909</v>
      </c>
      <c r="F97" s="18">
        <v>132193.85999999999</v>
      </c>
      <c r="G97" s="18">
        <v>4.82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132198.68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10910</v>
      </c>
      <c r="E98" s="16" t="s">
        <v>10911</v>
      </c>
      <c r="F98" s="18">
        <v>16061.91</v>
      </c>
      <c r="G98" s="18">
        <v>112378.21</v>
      </c>
      <c r="H98" s="18">
        <v>60667.659999999996</v>
      </c>
      <c r="I98" s="18">
        <v>21725</v>
      </c>
      <c r="J98" s="18">
        <v>47196.74</v>
      </c>
      <c r="K98" s="18">
        <v>0</v>
      </c>
      <c r="L98" s="18">
        <v>6458.53</v>
      </c>
      <c r="M98" s="20">
        <v>35842.19</v>
      </c>
      <c r="N98" s="20"/>
      <c r="O98" s="19"/>
    </row>
    <row r="99" spans="1:15" s="16" customFormat="1" hidden="1" x14ac:dyDescent="0.25">
      <c r="A99" s="16" t="s">
        <v>51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10912</v>
      </c>
      <c r="E99" s="16" t="s">
        <v>10913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10914</v>
      </c>
      <c r="E100" s="16" t="s">
        <v>10915</v>
      </c>
      <c r="F100" s="18">
        <v>49930.37</v>
      </c>
      <c r="G100" s="18">
        <v>0</v>
      </c>
      <c r="H100" s="18">
        <v>-5038.22</v>
      </c>
      <c r="I100" s="18">
        <v>0</v>
      </c>
      <c r="J100" s="18">
        <v>8513.32</v>
      </c>
      <c r="K100" s="18">
        <v>0</v>
      </c>
      <c r="L100" s="18">
        <v>0</v>
      </c>
      <c r="M100" s="20">
        <v>46455.27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10916</v>
      </c>
      <c r="E101" s="16" t="s">
        <v>10917</v>
      </c>
      <c r="F101" s="18">
        <v>3579.7400000000002</v>
      </c>
      <c r="G101" s="18">
        <v>6124.5099999999993</v>
      </c>
      <c r="H101" s="18">
        <v>6124.5099999999993</v>
      </c>
      <c r="I101" s="18">
        <v>0</v>
      </c>
      <c r="J101" s="18">
        <v>0</v>
      </c>
      <c r="K101" s="18">
        <v>0</v>
      </c>
      <c r="L101" s="18">
        <v>0</v>
      </c>
      <c r="M101" s="20">
        <v>3579.7400000000002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10918</v>
      </c>
      <c r="E102" s="16" t="s">
        <v>10919</v>
      </c>
      <c r="F102" s="18">
        <v>4148939.2399999998</v>
      </c>
      <c r="G102" s="18">
        <v>2783711.87</v>
      </c>
      <c r="H102" s="18">
        <v>2210714.36</v>
      </c>
      <c r="I102" s="18">
        <v>2143.9500000000003</v>
      </c>
      <c r="J102" s="18">
        <v>513659.88</v>
      </c>
      <c r="K102" s="18">
        <v>0</v>
      </c>
      <c r="L102" s="18">
        <v>59478.719999999994</v>
      </c>
      <c r="M102" s="20">
        <v>4150942.1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10920</v>
      </c>
      <c r="E103" s="16" t="s">
        <v>10921</v>
      </c>
      <c r="F103" s="18">
        <v>2439.5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20">
        <v>2439.5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10922</v>
      </c>
      <c r="E104" s="16" t="s">
        <v>10923</v>
      </c>
      <c r="F104" s="18">
        <v>30807.42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20">
        <v>30807.42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10924</v>
      </c>
      <c r="E105" s="16" t="s">
        <v>10925</v>
      </c>
      <c r="F105" s="18">
        <v>25275.850000000002</v>
      </c>
      <c r="G105" s="18">
        <v>146106.16999999998</v>
      </c>
      <c r="H105" s="18">
        <v>84121.9</v>
      </c>
      <c r="I105" s="18">
        <v>0</v>
      </c>
      <c r="J105" s="18">
        <v>23543.759999999998</v>
      </c>
      <c r="K105" s="18">
        <v>0</v>
      </c>
      <c r="L105" s="18">
        <v>3308.01</v>
      </c>
      <c r="M105" s="20">
        <v>60408.35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10926</v>
      </c>
      <c r="E106" s="16" t="s">
        <v>10927</v>
      </c>
      <c r="F106" s="18">
        <v>1232352.79</v>
      </c>
      <c r="G106" s="18">
        <v>19343.72</v>
      </c>
      <c r="H106" s="18">
        <v>1999.9999999999998</v>
      </c>
      <c r="I106" s="18">
        <v>0</v>
      </c>
      <c r="J106" s="18">
        <v>0</v>
      </c>
      <c r="K106" s="18">
        <v>0</v>
      </c>
      <c r="L106" s="18">
        <v>0</v>
      </c>
      <c r="M106" s="20">
        <v>1249696.51</v>
      </c>
      <c r="N106" s="20"/>
      <c r="O106" s="19"/>
    </row>
    <row r="107" spans="1:15" s="16" customFormat="1" x14ac:dyDescent="0.25">
      <c r="A107" s="16" t="s">
        <v>51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10928</v>
      </c>
      <c r="E107" s="16" t="s">
        <v>10929</v>
      </c>
      <c r="F107" s="18">
        <v>44433.09</v>
      </c>
      <c r="G107" s="18">
        <v>143306.35</v>
      </c>
      <c r="H107" s="18">
        <v>145815.59999999998</v>
      </c>
      <c r="I107" s="18">
        <v>0</v>
      </c>
      <c r="J107" s="18">
        <v>9924.7000000000007</v>
      </c>
      <c r="K107" s="18">
        <v>0</v>
      </c>
      <c r="L107" s="18">
        <v>0</v>
      </c>
      <c r="M107" s="20">
        <v>31999.140000000003</v>
      </c>
      <c r="N107" s="20"/>
      <c r="O107" s="19"/>
    </row>
    <row r="108" spans="1:15" s="16" customFormat="1" x14ac:dyDescent="0.25">
      <c r="A108" s="16" t="s">
        <v>51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10930</v>
      </c>
      <c r="E108" s="16" t="s">
        <v>10931</v>
      </c>
      <c r="F108" s="18">
        <v>13267222.74</v>
      </c>
      <c r="G108" s="18">
        <v>29929527.200000003</v>
      </c>
      <c r="H108" s="18">
        <v>29557639.68</v>
      </c>
      <c r="I108" s="18">
        <v>15422887</v>
      </c>
      <c r="J108" s="18">
        <v>15422887</v>
      </c>
      <c r="K108" s="18">
        <v>0</v>
      </c>
      <c r="L108" s="18">
        <v>0</v>
      </c>
      <c r="M108" s="20">
        <v>13639110.26</v>
      </c>
      <c r="N108" s="20"/>
      <c r="O108" s="19"/>
    </row>
    <row r="109" spans="1:15" s="16" customFormat="1" x14ac:dyDescent="0.25">
      <c r="A109" s="16" t="s">
        <v>51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10932</v>
      </c>
      <c r="E109" s="16" t="s">
        <v>10933</v>
      </c>
      <c r="F109" s="18">
        <v>23668.219999999998</v>
      </c>
      <c r="G109" s="18">
        <v>478244.14</v>
      </c>
      <c r="H109" s="18">
        <v>466196.89</v>
      </c>
      <c r="I109" s="18">
        <v>0</v>
      </c>
      <c r="J109" s="18">
        <v>10287.07</v>
      </c>
      <c r="K109" s="18">
        <v>0</v>
      </c>
      <c r="L109" s="18">
        <v>0</v>
      </c>
      <c r="M109" s="20">
        <v>25428.400000000001</v>
      </c>
      <c r="N109" s="20"/>
      <c r="O109" s="19"/>
    </row>
    <row r="110" spans="1:15" s="16" customFormat="1" x14ac:dyDescent="0.25">
      <c r="A110" s="16" t="s">
        <v>51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10934</v>
      </c>
      <c r="E110" s="16" t="s">
        <v>10935</v>
      </c>
      <c r="F110" s="18">
        <v>427108.75999999995</v>
      </c>
      <c r="G110" s="18">
        <v>371.29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427480.05000000005</v>
      </c>
      <c r="N110" s="20"/>
      <c r="O110" s="19"/>
    </row>
    <row r="111" spans="1:15" s="16" customFormat="1" x14ac:dyDescent="0.25">
      <c r="A111" s="16" t="s">
        <v>51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12262</v>
      </c>
      <c r="E111" s="16" t="s">
        <v>10936</v>
      </c>
      <c r="F111" s="18">
        <v>64333093.060000002</v>
      </c>
      <c r="G111" s="18">
        <v>9643058.0500000007</v>
      </c>
      <c r="H111" s="18">
        <v>10557748.17</v>
      </c>
      <c r="I111" s="18">
        <v>0</v>
      </c>
      <c r="J111" s="18">
        <v>1921077.19</v>
      </c>
      <c r="K111" s="18">
        <v>151.70999999999998</v>
      </c>
      <c r="L111" s="18">
        <v>59904.07</v>
      </c>
      <c r="M111" s="20">
        <v>61437573.390000001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10937</v>
      </c>
      <c r="E112" s="16" t="s">
        <v>10938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10939</v>
      </c>
      <c r="E113" s="16" t="s">
        <v>10940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10941</v>
      </c>
      <c r="E114" s="16" t="s">
        <v>10942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10943</v>
      </c>
      <c r="E115" s="16" t="s">
        <v>10944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10945</v>
      </c>
      <c r="E116" s="16" t="s">
        <v>10946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10947</v>
      </c>
      <c r="E117" s="16" t="s">
        <v>10948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10949</v>
      </c>
      <c r="E118" s="16" t="s">
        <v>10950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10951</v>
      </c>
      <c r="E119" s="16" t="s">
        <v>10952</v>
      </c>
      <c r="F119" s="18">
        <v>2057081.23</v>
      </c>
      <c r="G119" s="18">
        <v>4421.6499999999996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2061502.8800000001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10953</v>
      </c>
      <c r="E120" s="16" t="s">
        <v>10954</v>
      </c>
      <c r="F120" s="18">
        <v>2742322.34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2742322.34</v>
      </c>
      <c r="N120" s="20"/>
      <c r="O120" s="19"/>
    </row>
    <row r="121" spans="1:15" s="16" customFormat="1" hidden="1" x14ac:dyDescent="0.25">
      <c r="A121" s="16" t="s">
        <v>51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10955</v>
      </c>
      <c r="E121" s="16" t="s">
        <v>10956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10957</v>
      </c>
      <c r="E122" s="16" t="s">
        <v>10958</v>
      </c>
      <c r="F122" s="18">
        <v>9753474.0399999991</v>
      </c>
      <c r="G122" s="18">
        <v>21018.880000000001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9774492.9199999999</v>
      </c>
      <c r="N122" s="20"/>
      <c r="O122" s="19"/>
    </row>
    <row r="123" spans="1:15" s="16" customFormat="1" x14ac:dyDescent="0.25">
      <c r="A123" s="16" t="s">
        <v>51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10959</v>
      </c>
      <c r="E123" s="16" t="s">
        <v>10960</v>
      </c>
      <c r="F123" s="18">
        <v>1084217.1700000002</v>
      </c>
      <c r="G123" s="18">
        <v>2336.5300000000002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1086553.7</v>
      </c>
      <c r="N123" s="20"/>
      <c r="O123" s="19"/>
    </row>
    <row r="124" spans="1:15" s="16" customFormat="1" x14ac:dyDescent="0.25">
      <c r="A124" s="16" t="s">
        <v>51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10961</v>
      </c>
      <c r="E124" s="16" t="s">
        <v>10962</v>
      </c>
      <c r="F124" s="18">
        <v>1811439.86</v>
      </c>
      <c r="G124" s="18">
        <v>3903.7000000000003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1815343.56</v>
      </c>
      <c r="N124" s="20"/>
      <c r="O124" s="19"/>
    </row>
    <row r="125" spans="1:15" s="16" customFormat="1" x14ac:dyDescent="0.25">
      <c r="A125" s="16" t="s">
        <v>51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10963</v>
      </c>
      <c r="E125" s="16" t="s">
        <v>10964</v>
      </c>
      <c r="F125" s="18">
        <v>3221418.54</v>
      </c>
      <c r="G125" s="18">
        <v>7300.920000000001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3228719.46</v>
      </c>
      <c r="N125" s="20"/>
      <c r="O125" s="19"/>
    </row>
    <row r="126" spans="1:15" s="16" customFormat="1" x14ac:dyDescent="0.25">
      <c r="A126" s="16" t="s">
        <v>51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10965</v>
      </c>
      <c r="E126" s="16" t="s">
        <v>10966</v>
      </c>
      <c r="F126" s="18">
        <v>40492.99</v>
      </c>
      <c r="G126" s="18">
        <v>143.36000000000001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40636.35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10967</v>
      </c>
      <c r="E127" s="16" t="s">
        <v>10968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10969</v>
      </c>
      <c r="E128" s="16" t="s">
        <v>10970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10971</v>
      </c>
      <c r="E129" s="16" t="s">
        <v>10972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10973</v>
      </c>
      <c r="E130" s="16" t="s">
        <v>10974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10975</v>
      </c>
      <c r="E131" s="16" t="s">
        <v>10976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10977</v>
      </c>
      <c r="E132" s="16" t="s">
        <v>10978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10979</v>
      </c>
      <c r="E133" s="16" t="s">
        <v>10980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10981</v>
      </c>
      <c r="E134" s="16" t="s">
        <v>10982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10983</v>
      </c>
      <c r="E135" s="16" t="s">
        <v>10984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10985</v>
      </c>
      <c r="E136" s="16" t="s">
        <v>10986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10987</v>
      </c>
      <c r="E137" s="16" t="s">
        <v>10988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10989</v>
      </c>
      <c r="E138" s="16" t="s">
        <v>10990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10991</v>
      </c>
      <c r="E139" s="16" t="s">
        <v>10992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10993</v>
      </c>
      <c r="E140" s="16" t="s">
        <v>10994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10995</v>
      </c>
      <c r="E141" s="16" t="s">
        <v>10996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10997</v>
      </c>
      <c r="E142" s="16" t="s">
        <v>10998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10999</v>
      </c>
      <c r="E143" s="16" t="s">
        <v>11000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11001</v>
      </c>
      <c r="E144" s="16" t="s">
        <v>11002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11003</v>
      </c>
      <c r="E145" s="16" t="s">
        <v>11004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11005</v>
      </c>
      <c r="E146" s="16" t="s">
        <v>11006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11007</v>
      </c>
      <c r="E147" s="16" t="s">
        <v>11008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11009</v>
      </c>
      <c r="E148" s="16" t="s">
        <v>11010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11011</v>
      </c>
      <c r="E149" s="16" t="s">
        <v>11012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11013</v>
      </c>
      <c r="E150" s="16" t="s">
        <v>11014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11015</v>
      </c>
      <c r="E151" s="16" t="s">
        <v>11016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11017</v>
      </c>
      <c r="E152" s="16" t="s">
        <v>11018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11019</v>
      </c>
      <c r="E153" s="16" t="s">
        <v>11020</v>
      </c>
      <c r="F153" s="18">
        <v>22124.25</v>
      </c>
      <c r="G153" s="18">
        <v>11569.39</v>
      </c>
      <c r="H153" s="18">
        <v>0</v>
      </c>
      <c r="I153" s="18">
        <v>0</v>
      </c>
      <c r="J153" s="18">
        <v>646</v>
      </c>
      <c r="K153" s="18">
        <v>0</v>
      </c>
      <c r="L153" s="18">
        <v>0</v>
      </c>
      <c r="M153" s="20">
        <v>33047.64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11021</v>
      </c>
      <c r="E154" s="16" t="s">
        <v>11022</v>
      </c>
      <c r="F154" s="18">
        <v>275098.52999999997</v>
      </c>
      <c r="G154" s="18">
        <v>1650.0000000000002</v>
      </c>
      <c r="H154" s="18">
        <v>0</v>
      </c>
      <c r="I154" s="18">
        <v>0</v>
      </c>
      <c r="J154" s="18">
        <v>5150.32</v>
      </c>
      <c r="K154" s="18">
        <v>0</v>
      </c>
      <c r="L154" s="18">
        <v>0</v>
      </c>
      <c r="M154" s="20">
        <v>271598.21000000002</v>
      </c>
      <c r="N154" s="20"/>
      <c r="O154" s="19"/>
    </row>
    <row r="155" spans="1:15" s="16" customFormat="1" x14ac:dyDescent="0.25">
      <c r="A155" s="16" t="s">
        <v>51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11023</v>
      </c>
      <c r="E155" s="16" t="s">
        <v>11024</v>
      </c>
      <c r="F155" s="18">
        <v>433642.73</v>
      </c>
      <c r="G155" s="18">
        <v>0</v>
      </c>
      <c r="H155" s="18">
        <v>11407.36</v>
      </c>
      <c r="I155" s="18">
        <v>492000</v>
      </c>
      <c r="J155" s="18">
        <v>0</v>
      </c>
      <c r="K155" s="18">
        <v>0</v>
      </c>
      <c r="L155" s="18">
        <v>0</v>
      </c>
      <c r="M155" s="20">
        <v>914235.37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11025</v>
      </c>
      <c r="E156" s="16" t="s">
        <v>11026</v>
      </c>
      <c r="F156" s="18">
        <v>3049.04</v>
      </c>
      <c r="G156" s="18">
        <v>0</v>
      </c>
      <c r="H156" s="18">
        <v>9481.83</v>
      </c>
      <c r="I156" s="18">
        <v>100000.00000000001</v>
      </c>
      <c r="J156" s="18">
        <v>0</v>
      </c>
      <c r="K156" s="18">
        <v>0</v>
      </c>
      <c r="L156" s="18">
        <v>0</v>
      </c>
      <c r="M156" s="20">
        <v>93567.21</v>
      </c>
      <c r="N156" s="20"/>
      <c r="O156" s="19"/>
    </row>
    <row r="157" spans="1:15" s="16" customFormat="1" hidden="1" x14ac:dyDescent="0.25">
      <c r="A157" s="16" t="s">
        <v>51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11027</v>
      </c>
      <c r="E157" s="16" t="s">
        <v>11028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11029</v>
      </c>
      <c r="E158" s="16" t="s">
        <v>11030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11031</v>
      </c>
      <c r="E159" s="16" t="s">
        <v>11032</v>
      </c>
      <c r="F159" s="18">
        <v>258163.24</v>
      </c>
      <c r="G159" s="18">
        <v>0</v>
      </c>
      <c r="H159" s="18">
        <v>0</v>
      </c>
      <c r="I159" s="18">
        <v>0</v>
      </c>
      <c r="J159" s="18">
        <v>85</v>
      </c>
      <c r="K159" s="18">
        <v>0</v>
      </c>
      <c r="L159" s="18">
        <v>0</v>
      </c>
      <c r="M159" s="20">
        <v>258078.24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11033</v>
      </c>
      <c r="E160" s="16" t="s">
        <v>11034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11035</v>
      </c>
      <c r="E161" s="16" t="s">
        <v>11036</v>
      </c>
      <c r="F161" s="18">
        <v>3188178.41</v>
      </c>
      <c r="G161" s="18">
        <v>288720.45</v>
      </c>
      <c r="H161" s="18">
        <v>3188178.41</v>
      </c>
      <c r="I161" s="18">
        <v>0</v>
      </c>
      <c r="J161" s="18">
        <v>7795</v>
      </c>
      <c r="K161" s="18">
        <v>0</v>
      </c>
      <c r="L161" s="18">
        <v>0</v>
      </c>
      <c r="M161" s="20">
        <v>280925.45</v>
      </c>
      <c r="N161" s="20"/>
      <c r="O161" s="19"/>
    </row>
    <row r="162" spans="1:15" s="16" customFormat="1" x14ac:dyDescent="0.25">
      <c r="A162" s="16" t="s">
        <v>51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11037</v>
      </c>
      <c r="E162" s="16" t="s">
        <v>11038</v>
      </c>
      <c r="F162" s="18">
        <v>2825.44</v>
      </c>
      <c r="G162" s="18">
        <v>70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2895.44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11039</v>
      </c>
      <c r="E163" s="16" t="s">
        <v>11040</v>
      </c>
      <c r="F163" s="18">
        <v>107085.84000000001</v>
      </c>
      <c r="G163" s="18">
        <v>1170</v>
      </c>
      <c r="H163" s="18">
        <v>0</v>
      </c>
      <c r="I163" s="18">
        <v>0</v>
      </c>
      <c r="J163" s="18">
        <v>4488.45</v>
      </c>
      <c r="K163" s="18">
        <v>0</v>
      </c>
      <c r="L163" s="18">
        <v>0</v>
      </c>
      <c r="M163" s="20">
        <v>103767.39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11041</v>
      </c>
      <c r="E164" s="16" t="s">
        <v>11042</v>
      </c>
      <c r="F164" s="18">
        <v>457858.25</v>
      </c>
      <c r="G164" s="18">
        <v>58109.539999999994</v>
      </c>
      <c r="H164" s="18">
        <v>33682.11</v>
      </c>
      <c r="I164" s="18">
        <v>0</v>
      </c>
      <c r="J164" s="18">
        <v>17218.039999999997</v>
      </c>
      <c r="K164" s="18">
        <v>503.70000000000005</v>
      </c>
      <c r="L164" s="18">
        <v>1464.77</v>
      </c>
      <c r="M164" s="20">
        <v>464106.57</v>
      </c>
      <c r="N164" s="20"/>
      <c r="O164" s="19"/>
    </row>
    <row r="165" spans="1:15" s="16" customFormat="1" hidden="1" x14ac:dyDescent="0.25">
      <c r="A165" s="16" t="s">
        <v>51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11043</v>
      </c>
      <c r="E165" s="16" t="s">
        <v>11044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11045</v>
      </c>
      <c r="E166" s="16" t="s">
        <v>11046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11047</v>
      </c>
      <c r="E167" s="16" t="s">
        <v>11048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11049</v>
      </c>
      <c r="E168" s="16" t="s">
        <v>11050</v>
      </c>
      <c r="F168" s="18">
        <v>2697643.56</v>
      </c>
      <c r="G168" s="18">
        <v>58032.509999999995</v>
      </c>
      <c r="H168" s="18">
        <v>0</v>
      </c>
      <c r="I168" s="18">
        <v>0</v>
      </c>
      <c r="J168" s="18">
        <v>245496.84999999998</v>
      </c>
      <c r="K168" s="18">
        <v>0</v>
      </c>
      <c r="L168" s="18">
        <v>0</v>
      </c>
      <c r="M168" s="20">
        <v>2510179.2199999997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11051</v>
      </c>
      <c r="E169" s="16" t="s">
        <v>11052</v>
      </c>
      <c r="F169" s="18">
        <v>11702.24</v>
      </c>
      <c r="G169" s="18">
        <v>792.41000000000008</v>
      </c>
      <c r="H169" s="18">
        <v>45007.01</v>
      </c>
      <c r="I169" s="18">
        <v>888189</v>
      </c>
      <c r="J169" s="18">
        <v>21660.809999999998</v>
      </c>
      <c r="K169" s="18">
        <v>0</v>
      </c>
      <c r="L169" s="18">
        <v>90</v>
      </c>
      <c r="M169" s="20">
        <v>833925.83000000007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11053</v>
      </c>
      <c r="E170" s="16" t="s">
        <v>11054</v>
      </c>
      <c r="F170" s="18">
        <v>104418.33</v>
      </c>
      <c r="G170" s="18">
        <v>949.99999999999989</v>
      </c>
      <c r="H170" s="18">
        <v>0</v>
      </c>
      <c r="I170" s="18">
        <v>0</v>
      </c>
      <c r="J170" s="18">
        <v>4030.11</v>
      </c>
      <c r="K170" s="18">
        <v>0</v>
      </c>
      <c r="L170" s="18">
        <v>0</v>
      </c>
      <c r="M170" s="20">
        <v>101338.22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11055</v>
      </c>
      <c r="E171" s="16" t="s">
        <v>11056</v>
      </c>
      <c r="F171" s="18">
        <v>27424.719999999998</v>
      </c>
      <c r="G171" s="18">
        <v>0</v>
      </c>
      <c r="H171" s="18">
        <v>463.34999999999997</v>
      </c>
      <c r="I171" s="18">
        <v>0</v>
      </c>
      <c r="J171" s="18">
        <v>246.06</v>
      </c>
      <c r="K171" s="18">
        <v>0</v>
      </c>
      <c r="L171" s="18">
        <v>111.84</v>
      </c>
      <c r="M171" s="20">
        <v>26603.47</v>
      </c>
      <c r="N171" s="20"/>
      <c r="O171" s="19"/>
    </row>
    <row r="172" spans="1:15" s="16" customFormat="1" hidden="1" x14ac:dyDescent="0.25">
      <c r="A172" s="16" t="s">
        <v>51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11057</v>
      </c>
      <c r="E172" s="16" t="s">
        <v>11058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11059</v>
      </c>
      <c r="E173" s="16" t="s">
        <v>11060</v>
      </c>
      <c r="F173" s="18">
        <v>3522994.47</v>
      </c>
      <c r="G173" s="18">
        <v>106399.20999999999</v>
      </c>
      <c r="H173" s="18">
        <v>151535.19</v>
      </c>
      <c r="I173" s="18">
        <v>0</v>
      </c>
      <c r="J173" s="18">
        <v>21875.289999999997</v>
      </c>
      <c r="K173" s="18">
        <v>0</v>
      </c>
      <c r="L173" s="18">
        <v>6853.03</v>
      </c>
      <c r="M173" s="20">
        <v>3449130.17</v>
      </c>
      <c r="N173" s="20"/>
      <c r="O173" s="19"/>
    </row>
    <row r="174" spans="1:15" s="16" customFormat="1" x14ac:dyDescent="0.25">
      <c r="A174" s="16" t="s">
        <v>51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11061</v>
      </c>
      <c r="E174" s="16" t="s">
        <v>11062</v>
      </c>
      <c r="F174" s="18">
        <v>1603722.5999999999</v>
      </c>
      <c r="G174" s="18">
        <v>254125.36</v>
      </c>
      <c r="H174" s="18">
        <v>75035.19</v>
      </c>
      <c r="I174" s="18">
        <v>0</v>
      </c>
      <c r="J174" s="18">
        <v>75737.75</v>
      </c>
      <c r="K174" s="18">
        <v>0</v>
      </c>
      <c r="L174" s="18">
        <v>930.16</v>
      </c>
      <c r="M174" s="20">
        <v>1706144.8599999999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11063</v>
      </c>
      <c r="E175" s="16" t="s">
        <v>11064</v>
      </c>
      <c r="F175" s="18">
        <v>357104.49</v>
      </c>
      <c r="G175" s="18">
        <v>88279.25</v>
      </c>
      <c r="H175" s="18">
        <v>35247.22</v>
      </c>
      <c r="I175" s="18">
        <v>0</v>
      </c>
      <c r="J175" s="18">
        <v>6708.66</v>
      </c>
      <c r="K175" s="18">
        <v>0</v>
      </c>
      <c r="L175" s="18">
        <v>0</v>
      </c>
      <c r="M175" s="20">
        <v>403427.86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11065</v>
      </c>
      <c r="E176" s="16" t="s">
        <v>11066</v>
      </c>
      <c r="F176" s="18">
        <v>96139.95</v>
      </c>
      <c r="G176" s="18">
        <v>11514.24</v>
      </c>
      <c r="H176" s="18">
        <v>1960</v>
      </c>
      <c r="I176" s="18">
        <v>388.54999999999995</v>
      </c>
      <c r="J176" s="18">
        <v>1566.0700000000002</v>
      </c>
      <c r="K176" s="18">
        <v>12500.000000000002</v>
      </c>
      <c r="L176" s="18">
        <v>0</v>
      </c>
      <c r="M176" s="20">
        <v>117016.67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11067</v>
      </c>
      <c r="E177" s="16" t="s">
        <v>11068</v>
      </c>
      <c r="F177" s="18">
        <v>2476064</v>
      </c>
      <c r="G177" s="18">
        <v>237079.72</v>
      </c>
      <c r="H177" s="18">
        <v>127409.65999999999</v>
      </c>
      <c r="I177" s="18">
        <v>19031.98</v>
      </c>
      <c r="J177" s="18">
        <v>78018.430000000008</v>
      </c>
      <c r="K177" s="18">
        <v>0</v>
      </c>
      <c r="L177" s="18">
        <v>398.76</v>
      </c>
      <c r="M177" s="20">
        <v>2526348.85</v>
      </c>
      <c r="N177" s="20"/>
      <c r="O177" s="19"/>
    </row>
    <row r="178" spans="1:15" s="16" customFormat="1" x14ac:dyDescent="0.25">
      <c r="A178" s="16" t="s">
        <v>51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11069</v>
      </c>
      <c r="E178" s="16" t="s">
        <v>11070</v>
      </c>
      <c r="F178" s="18">
        <v>8399018.3599999994</v>
      </c>
      <c r="G178" s="18">
        <v>86358.55</v>
      </c>
      <c r="H178" s="18">
        <v>146636.33000000002</v>
      </c>
      <c r="I178" s="18">
        <v>0</v>
      </c>
      <c r="J178" s="18">
        <v>40103.29</v>
      </c>
      <c r="K178" s="18">
        <v>0</v>
      </c>
      <c r="L178" s="18">
        <v>2783.42</v>
      </c>
      <c r="M178" s="20">
        <v>8295853.8700000001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11071</v>
      </c>
      <c r="E179" s="16" t="s">
        <v>11072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11073</v>
      </c>
      <c r="E180" s="16" t="s">
        <v>11074</v>
      </c>
      <c r="F180" s="18">
        <v>1655983.05</v>
      </c>
      <c r="G180" s="18">
        <v>174.62</v>
      </c>
      <c r="H180" s="18">
        <v>430363.88000000006</v>
      </c>
      <c r="I180" s="18">
        <v>3880000.0000000005</v>
      </c>
      <c r="J180" s="18">
        <v>67716.86</v>
      </c>
      <c r="K180" s="18">
        <v>0</v>
      </c>
      <c r="L180" s="18">
        <v>254.42</v>
      </c>
      <c r="M180" s="20">
        <v>5037822.51</v>
      </c>
      <c r="N180" s="20"/>
      <c r="O180" s="19"/>
    </row>
    <row r="181" spans="1:15" s="16" customFormat="1" x14ac:dyDescent="0.25">
      <c r="A181" s="16" t="s">
        <v>51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11075</v>
      </c>
      <c r="E181" s="16" t="s">
        <v>11076</v>
      </c>
      <c r="F181" s="18">
        <v>3347847.4899999998</v>
      </c>
      <c r="G181" s="18">
        <v>3704503.02</v>
      </c>
      <c r="H181" s="18">
        <v>868960.86</v>
      </c>
      <c r="I181" s="18">
        <v>0</v>
      </c>
      <c r="J181" s="18">
        <v>336433.21</v>
      </c>
      <c r="K181" s="18">
        <v>0.05</v>
      </c>
      <c r="L181" s="18">
        <v>11495.220000000001</v>
      </c>
      <c r="M181" s="20">
        <v>5835461.2700000005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11077</v>
      </c>
      <c r="E182" s="16" t="s">
        <v>11078</v>
      </c>
      <c r="F182" s="18">
        <v>264517.87</v>
      </c>
      <c r="G182" s="18">
        <v>2022.47</v>
      </c>
      <c r="H182" s="18">
        <v>7260.7699999999995</v>
      </c>
      <c r="I182" s="18">
        <v>0</v>
      </c>
      <c r="J182" s="18">
        <v>4458.05</v>
      </c>
      <c r="K182" s="18">
        <v>0</v>
      </c>
      <c r="L182" s="18">
        <v>72.56</v>
      </c>
      <c r="M182" s="20">
        <v>254748.96000000002</v>
      </c>
      <c r="N182" s="20"/>
      <c r="O182" s="19"/>
    </row>
    <row r="183" spans="1:15" s="16" customFormat="1" hidden="1" x14ac:dyDescent="0.25">
      <c r="A183" s="16" t="s">
        <v>51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11079</v>
      </c>
      <c r="E183" s="16" t="s">
        <v>11080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11081</v>
      </c>
      <c r="E184" s="16" t="s">
        <v>11082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11083</v>
      </c>
      <c r="E185" s="16" t="s">
        <v>11084</v>
      </c>
      <c r="F185" s="18">
        <v>101481.65000000001</v>
      </c>
      <c r="G185" s="18">
        <v>12719.99</v>
      </c>
      <c r="H185" s="18">
        <v>0</v>
      </c>
      <c r="I185" s="18">
        <v>0</v>
      </c>
      <c r="J185" s="18">
        <v>101483.90999999999</v>
      </c>
      <c r="K185" s="18">
        <v>0</v>
      </c>
      <c r="L185" s="18">
        <v>0</v>
      </c>
      <c r="M185" s="20">
        <v>12717.73</v>
      </c>
      <c r="N185" s="20"/>
      <c r="O185" s="19"/>
    </row>
    <row r="186" spans="1:15" s="16" customFormat="1" hidden="1" x14ac:dyDescent="0.25">
      <c r="A186" s="16" t="s">
        <v>51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11085</v>
      </c>
      <c r="E186" s="16" t="s">
        <v>11086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11087</v>
      </c>
      <c r="E187" s="16" t="s">
        <v>11088</v>
      </c>
      <c r="F187" s="18">
        <v>675707.88</v>
      </c>
      <c r="G187" s="18">
        <v>39633.68</v>
      </c>
      <c r="H187" s="18">
        <v>0</v>
      </c>
      <c r="I187" s="18">
        <v>0</v>
      </c>
      <c r="J187" s="18">
        <v>2008</v>
      </c>
      <c r="K187" s="18">
        <v>0</v>
      </c>
      <c r="L187" s="18">
        <v>0</v>
      </c>
      <c r="M187" s="20">
        <v>713333.56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11089</v>
      </c>
      <c r="E188" s="16" t="s">
        <v>11090</v>
      </c>
      <c r="F188" s="18">
        <v>34135.71</v>
      </c>
      <c r="G188" s="18">
        <v>11522.36</v>
      </c>
      <c r="H188" s="18">
        <v>33000</v>
      </c>
      <c r="I188" s="18">
        <v>0</v>
      </c>
      <c r="J188" s="18">
        <v>645</v>
      </c>
      <c r="K188" s="18">
        <v>0</v>
      </c>
      <c r="L188" s="18">
        <v>0</v>
      </c>
      <c r="M188" s="20">
        <v>12013.07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11091</v>
      </c>
      <c r="E189" s="16" t="s">
        <v>11092</v>
      </c>
      <c r="F189" s="18">
        <v>10587403.789999999</v>
      </c>
      <c r="G189" s="18">
        <v>24329252.43</v>
      </c>
      <c r="H189" s="18">
        <v>0</v>
      </c>
      <c r="I189" s="18">
        <v>0</v>
      </c>
      <c r="J189" s="18">
        <v>23765190.550000001</v>
      </c>
      <c r="K189" s="18">
        <v>0</v>
      </c>
      <c r="L189" s="18">
        <v>0</v>
      </c>
      <c r="M189" s="20">
        <v>11151465.67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11093</v>
      </c>
      <c r="E190" s="16" t="s">
        <v>11094</v>
      </c>
      <c r="F190" s="18">
        <v>4461754.16</v>
      </c>
      <c r="G190" s="18">
        <v>2973802.51</v>
      </c>
      <c r="H190" s="18">
        <v>1824349.56</v>
      </c>
      <c r="I190" s="18">
        <v>5782.65</v>
      </c>
      <c r="J190" s="18">
        <v>515385.29</v>
      </c>
      <c r="K190" s="18">
        <v>0</v>
      </c>
      <c r="L190" s="18">
        <v>10066.77</v>
      </c>
      <c r="M190" s="20">
        <v>5091537.7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11095</v>
      </c>
      <c r="E191" s="16" t="s">
        <v>11096</v>
      </c>
      <c r="F191" s="18">
        <v>220491.15999999997</v>
      </c>
      <c r="G191" s="18">
        <v>7181.2199999999993</v>
      </c>
      <c r="H191" s="18">
        <v>42721565.479999997</v>
      </c>
      <c r="I191" s="18">
        <v>42500000</v>
      </c>
      <c r="J191" s="18">
        <v>0</v>
      </c>
      <c r="K191" s="18">
        <v>0</v>
      </c>
      <c r="L191" s="18">
        <v>0</v>
      </c>
      <c r="M191" s="20">
        <v>6106.9000000000005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11097</v>
      </c>
      <c r="E192" s="16" t="s">
        <v>11098</v>
      </c>
      <c r="F192" s="18">
        <v>3464475.7</v>
      </c>
      <c r="G192" s="18">
        <v>395051.81000000006</v>
      </c>
      <c r="H192" s="18">
        <v>357025.23</v>
      </c>
      <c r="I192" s="18">
        <v>0</v>
      </c>
      <c r="J192" s="18">
        <v>22254.350000000002</v>
      </c>
      <c r="K192" s="18">
        <v>0</v>
      </c>
      <c r="L192" s="18">
        <v>0</v>
      </c>
      <c r="M192" s="20">
        <v>3480247.9299999997</v>
      </c>
      <c r="N192" s="20"/>
      <c r="O192" s="19"/>
    </row>
    <row r="193" spans="1:15" s="16" customFormat="1" x14ac:dyDescent="0.25">
      <c r="A193" s="16" t="s">
        <v>51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11099</v>
      </c>
      <c r="E193" s="16" t="s">
        <v>11100</v>
      </c>
      <c r="F193" s="18">
        <v>37873.729999999996</v>
      </c>
      <c r="G193" s="18">
        <v>313.65999999999997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38187.39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11101</v>
      </c>
      <c r="E194" s="16" t="s">
        <v>11102</v>
      </c>
      <c r="F194" s="18">
        <v>3205724.3000000003</v>
      </c>
      <c r="G194" s="18">
        <v>165735.28</v>
      </c>
      <c r="H194" s="18">
        <v>116293.79</v>
      </c>
      <c r="I194" s="18">
        <v>0</v>
      </c>
      <c r="J194" s="18">
        <v>3648</v>
      </c>
      <c r="K194" s="18">
        <v>0</v>
      </c>
      <c r="L194" s="18">
        <v>0</v>
      </c>
      <c r="M194" s="20">
        <v>3251517.79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11103</v>
      </c>
      <c r="E195" s="16" t="s">
        <v>11104</v>
      </c>
      <c r="F195" s="18">
        <v>6393003.25</v>
      </c>
      <c r="G195" s="18">
        <v>0</v>
      </c>
      <c r="H195" s="18">
        <v>7528340</v>
      </c>
      <c r="I195" s="18">
        <v>39205511</v>
      </c>
      <c r="J195" s="18">
        <v>1500000</v>
      </c>
      <c r="K195" s="18">
        <v>0</v>
      </c>
      <c r="L195" s="18">
        <v>0</v>
      </c>
      <c r="M195" s="20">
        <v>36570174.25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11105</v>
      </c>
      <c r="E196" s="16" t="s">
        <v>11106</v>
      </c>
      <c r="F196" s="18">
        <v>107440.62000000001</v>
      </c>
      <c r="G196" s="18">
        <v>64630.91</v>
      </c>
      <c r="H196" s="18">
        <v>23278.84</v>
      </c>
      <c r="I196" s="18">
        <v>0</v>
      </c>
      <c r="J196" s="18">
        <v>2541.88</v>
      </c>
      <c r="K196" s="18">
        <v>1280</v>
      </c>
      <c r="L196" s="18">
        <v>2675.56</v>
      </c>
      <c r="M196" s="20">
        <v>144855.25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11107</v>
      </c>
      <c r="E197" s="16" t="s">
        <v>11108</v>
      </c>
      <c r="F197" s="18">
        <v>203874.06000000003</v>
      </c>
      <c r="G197" s="18">
        <v>0</v>
      </c>
      <c r="H197" s="18">
        <v>4221.4799999999996</v>
      </c>
      <c r="I197" s="18">
        <v>0</v>
      </c>
      <c r="J197" s="18">
        <v>2852.72</v>
      </c>
      <c r="K197" s="18">
        <v>0</v>
      </c>
      <c r="L197" s="18">
        <v>1.82</v>
      </c>
      <c r="M197" s="20">
        <v>196798.04</v>
      </c>
      <c r="N197" s="20"/>
      <c r="O197" s="19"/>
    </row>
    <row r="198" spans="1:15" s="16" customFormat="1" hidden="1" x14ac:dyDescent="0.25">
      <c r="A198" s="16" t="s">
        <v>51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11109</v>
      </c>
      <c r="E198" s="16" t="s">
        <v>11110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11111</v>
      </c>
      <c r="E199" s="16" t="s">
        <v>11112</v>
      </c>
      <c r="F199" s="18">
        <v>541517.61</v>
      </c>
      <c r="G199" s="18">
        <v>2142.13</v>
      </c>
      <c r="H199" s="18">
        <v>130516.03000000001</v>
      </c>
      <c r="I199" s="18">
        <v>0</v>
      </c>
      <c r="J199" s="18">
        <v>38179.910000000003</v>
      </c>
      <c r="K199" s="18">
        <v>0</v>
      </c>
      <c r="L199" s="18">
        <v>928.94999999999993</v>
      </c>
      <c r="M199" s="20">
        <v>374034.85000000003</v>
      </c>
      <c r="N199" s="20"/>
      <c r="O199" s="19"/>
    </row>
    <row r="200" spans="1:15" s="16" customFormat="1" x14ac:dyDescent="0.25">
      <c r="A200" s="16" t="s">
        <v>51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11113</v>
      </c>
      <c r="E200" s="16" t="s">
        <v>11114</v>
      </c>
      <c r="F200" s="18">
        <v>37505.4</v>
      </c>
      <c r="G200" s="18">
        <v>52.08</v>
      </c>
      <c r="H200" s="18">
        <v>0</v>
      </c>
      <c r="I200" s="18">
        <v>2814</v>
      </c>
      <c r="J200" s="18">
        <v>0</v>
      </c>
      <c r="K200" s="18">
        <v>0</v>
      </c>
      <c r="L200" s="18">
        <v>0</v>
      </c>
      <c r="M200" s="20">
        <v>40371.480000000003</v>
      </c>
      <c r="N200" s="20"/>
      <c r="O200" s="19"/>
    </row>
    <row r="201" spans="1:15" s="16" customFormat="1" x14ac:dyDescent="0.25">
      <c r="A201" s="16" t="s">
        <v>51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11115</v>
      </c>
      <c r="E201" s="16" t="s">
        <v>11116</v>
      </c>
      <c r="F201" s="18">
        <v>1836564.42</v>
      </c>
      <c r="G201" s="18">
        <v>96053.5</v>
      </c>
      <c r="H201" s="18">
        <v>5632.5599999999995</v>
      </c>
      <c r="I201" s="18">
        <v>0</v>
      </c>
      <c r="J201" s="18">
        <v>3284</v>
      </c>
      <c r="K201" s="18">
        <v>0</v>
      </c>
      <c r="L201" s="18">
        <v>0</v>
      </c>
      <c r="M201" s="20">
        <v>1923701.36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11117</v>
      </c>
      <c r="E202" s="16" t="s">
        <v>11118</v>
      </c>
      <c r="F202" s="18">
        <v>3068844.84</v>
      </c>
      <c r="G202" s="18">
        <v>857007.90999999992</v>
      </c>
      <c r="H202" s="18">
        <v>376292.58</v>
      </c>
      <c r="I202" s="18">
        <v>0</v>
      </c>
      <c r="J202" s="18">
        <v>109517.44</v>
      </c>
      <c r="K202" s="18">
        <v>4074</v>
      </c>
      <c r="L202" s="18">
        <v>15829.150000000001</v>
      </c>
      <c r="M202" s="20">
        <v>3428287.58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11119</v>
      </c>
      <c r="E203" s="16" t="s">
        <v>11120</v>
      </c>
      <c r="F203" s="18">
        <v>11462.24</v>
      </c>
      <c r="G203" s="18">
        <v>1005</v>
      </c>
      <c r="H203" s="18">
        <v>0</v>
      </c>
      <c r="I203" s="18">
        <v>0</v>
      </c>
      <c r="J203" s="18">
        <v>61</v>
      </c>
      <c r="K203" s="18">
        <v>0</v>
      </c>
      <c r="L203" s="18">
        <v>93.19</v>
      </c>
      <c r="M203" s="20">
        <v>12313.05</v>
      </c>
      <c r="N203" s="20"/>
      <c r="O203" s="19"/>
    </row>
    <row r="204" spans="1:15" s="16" customFormat="1" hidden="1" x14ac:dyDescent="0.25">
      <c r="A204" s="16" t="s">
        <v>51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11121</v>
      </c>
      <c r="E204" s="16" t="s">
        <v>11122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11123</v>
      </c>
      <c r="E205" s="16" t="s">
        <v>11124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11125</v>
      </c>
      <c r="E206" s="16" t="s">
        <v>11126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11127</v>
      </c>
      <c r="E207" s="16" t="s">
        <v>11128</v>
      </c>
      <c r="F207" s="18">
        <v>21371043.800000001</v>
      </c>
      <c r="G207" s="18">
        <v>2316378.5499999998</v>
      </c>
      <c r="H207" s="18">
        <v>1127433.83</v>
      </c>
      <c r="I207" s="18">
        <v>621.29999999999995</v>
      </c>
      <c r="J207" s="18">
        <v>205400.1</v>
      </c>
      <c r="K207" s="18">
        <v>0</v>
      </c>
      <c r="L207" s="18">
        <v>6939.119999999999</v>
      </c>
      <c r="M207" s="20">
        <v>22348270.600000001</v>
      </c>
      <c r="N207" s="20"/>
      <c r="O207" s="19"/>
    </row>
    <row r="208" spans="1:15" s="16" customFormat="1" x14ac:dyDescent="0.25">
      <c r="A208" s="16" t="s">
        <v>51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11129</v>
      </c>
      <c r="E208" s="16" t="s">
        <v>11130</v>
      </c>
      <c r="F208" s="18">
        <v>1189677.06</v>
      </c>
      <c r="G208" s="18">
        <v>3710.8599999999997</v>
      </c>
      <c r="H208" s="18">
        <v>17062.97</v>
      </c>
      <c r="I208" s="18">
        <v>0</v>
      </c>
      <c r="J208" s="18">
        <v>0</v>
      </c>
      <c r="K208" s="18">
        <v>0</v>
      </c>
      <c r="L208" s="18">
        <v>0</v>
      </c>
      <c r="M208" s="20">
        <v>1176324.95</v>
      </c>
      <c r="N208" s="20"/>
      <c r="O208" s="19"/>
    </row>
    <row r="209" spans="1:15" s="16" customFormat="1" x14ac:dyDescent="0.25">
      <c r="A209" s="16" t="s">
        <v>51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11131</v>
      </c>
      <c r="E209" s="16" t="s">
        <v>11132</v>
      </c>
      <c r="F209" s="18">
        <v>25590034.32</v>
      </c>
      <c r="G209" s="18">
        <v>60088.61</v>
      </c>
      <c r="H209" s="18">
        <v>1379457.54</v>
      </c>
      <c r="I209" s="18">
        <v>0</v>
      </c>
      <c r="J209" s="18">
        <v>0</v>
      </c>
      <c r="K209" s="18">
        <v>0</v>
      </c>
      <c r="L209" s="18">
        <v>0</v>
      </c>
      <c r="M209" s="20">
        <v>24270665.390000001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11133</v>
      </c>
      <c r="E210" s="16" t="s">
        <v>11134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11135</v>
      </c>
      <c r="E211" s="16" t="s">
        <v>11136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11137</v>
      </c>
      <c r="E212" s="16" t="s">
        <v>11138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11139</v>
      </c>
      <c r="E213" s="16" t="s">
        <v>11140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11141</v>
      </c>
      <c r="E214" s="16" t="s">
        <v>11142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11143</v>
      </c>
      <c r="E215" s="16" t="s">
        <v>11144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11145</v>
      </c>
      <c r="E216" s="16" t="s">
        <v>11146</v>
      </c>
      <c r="F216" s="18">
        <v>31936513.669999998</v>
      </c>
      <c r="G216" s="18">
        <v>22710411.529999997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54646925.200000003</v>
      </c>
      <c r="N216" s="20"/>
      <c r="O216" s="19"/>
    </row>
    <row r="217" spans="1:15" s="16" customFormat="1" x14ac:dyDescent="0.25">
      <c r="A217" s="16" t="s">
        <v>51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11147</v>
      </c>
      <c r="E217" s="16" t="s">
        <v>11148</v>
      </c>
      <c r="F217" s="18">
        <v>890032796.83000004</v>
      </c>
      <c r="G217" s="18">
        <v>127478161.72</v>
      </c>
      <c r="H217" s="18">
        <v>181498919.25999999</v>
      </c>
      <c r="I217" s="18">
        <v>29304225.439999998</v>
      </c>
      <c r="J217" s="18">
        <v>1188873</v>
      </c>
      <c r="K217" s="18">
        <v>750.21</v>
      </c>
      <c r="L217" s="18">
        <v>150127.56</v>
      </c>
      <c r="M217" s="20">
        <v>863978014.38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11149</v>
      </c>
      <c r="E218" s="16" t="s">
        <v>11150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11151</v>
      </c>
      <c r="E219" s="16" t="s">
        <v>11152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11153</v>
      </c>
      <c r="E220" s="16" t="s">
        <v>11154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11155</v>
      </c>
      <c r="E221" s="16" t="s">
        <v>11156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11157</v>
      </c>
      <c r="E222" s="16" t="s">
        <v>11158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11159</v>
      </c>
      <c r="E223" s="16" t="s">
        <v>11160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11161</v>
      </c>
      <c r="E224" s="16" t="s">
        <v>11162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11163</v>
      </c>
      <c r="E225" s="16" t="s">
        <v>11164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11165</v>
      </c>
      <c r="E226" s="16" t="s">
        <v>11166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11167</v>
      </c>
      <c r="E227" s="16" t="s">
        <v>11168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11169</v>
      </c>
      <c r="E228" s="16" t="s">
        <v>11170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11171</v>
      </c>
      <c r="E229" s="16" t="s">
        <v>11172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11173</v>
      </c>
      <c r="E230" s="16" t="s">
        <v>11174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11175</v>
      </c>
      <c r="E231" s="16" t="s">
        <v>11176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11177</v>
      </c>
      <c r="E232" s="16" t="s">
        <v>11178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11179</v>
      </c>
      <c r="E233" s="16" t="s">
        <v>11180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11181</v>
      </c>
      <c r="E234" s="16" t="s">
        <v>11182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11183</v>
      </c>
      <c r="E235" s="16" t="s">
        <v>11184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11185</v>
      </c>
      <c r="E236" s="16" t="s">
        <v>11186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11187</v>
      </c>
      <c r="E237" s="16" t="s">
        <v>11188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11189</v>
      </c>
      <c r="E238" s="16" t="s">
        <v>11190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11191</v>
      </c>
      <c r="E239" s="16" t="s">
        <v>11192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11193</v>
      </c>
      <c r="E240" s="16" t="s">
        <v>11194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11195</v>
      </c>
      <c r="E241" s="16" t="s">
        <v>11196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11197</v>
      </c>
      <c r="E242" s="16" t="s">
        <v>11198</v>
      </c>
      <c r="F242" s="18">
        <v>1108927.44</v>
      </c>
      <c r="G242" s="18">
        <v>3013.97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1111941.4100000001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11199</v>
      </c>
      <c r="E243" s="16" t="s">
        <v>11200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11201</v>
      </c>
      <c r="E244" s="16" t="s">
        <v>11202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11203</v>
      </c>
      <c r="E245" s="16" t="s">
        <v>11204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11205</v>
      </c>
      <c r="E246" s="16" t="s">
        <v>11206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11207</v>
      </c>
      <c r="E247" s="16" t="s">
        <v>11208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11209</v>
      </c>
      <c r="E248" s="16" t="s">
        <v>11210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11211</v>
      </c>
      <c r="E249" s="16" t="s">
        <v>11212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11213</v>
      </c>
      <c r="E250" s="16" t="s">
        <v>11214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11215</v>
      </c>
      <c r="E251" s="16" t="s">
        <v>11216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51</v>
      </c>
      <c r="B252" s="16" t="str">
        <f t="shared" si="3"/>
        <v>show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11217</v>
      </c>
      <c r="E252" s="16" t="s">
        <v>11218</v>
      </c>
      <c r="F252" s="18">
        <v>1187741.8500000001</v>
      </c>
      <c r="G252" s="18">
        <v>4126.99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1191868.8400000001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11219</v>
      </c>
      <c r="E253" s="16" t="s">
        <v>11220</v>
      </c>
      <c r="F253" s="18">
        <v>4995950.29</v>
      </c>
      <c r="G253" s="18">
        <v>11398.16</v>
      </c>
      <c r="H253" s="18">
        <v>41339.920000000006</v>
      </c>
      <c r="I253" s="18">
        <v>0</v>
      </c>
      <c r="J253" s="18">
        <v>0</v>
      </c>
      <c r="K253" s="18">
        <v>0</v>
      </c>
      <c r="L253" s="18">
        <v>0</v>
      </c>
      <c r="M253" s="20">
        <v>4966008.5299999993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11221</v>
      </c>
      <c r="E254" s="16" t="s">
        <v>11222</v>
      </c>
      <c r="F254" s="18">
        <v>12569417.449999999</v>
      </c>
      <c r="G254" s="18">
        <v>26914.45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12596331.9</v>
      </c>
      <c r="N254" s="20"/>
      <c r="O254" s="19"/>
    </row>
    <row r="255" spans="1:15" s="16" customFormat="1" hidden="1" x14ac:dyDescent="0.25">
      <c r="A255" s="16" t="s">
        <v>51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11223</v>
      </c>
      <c r="E255" s="16" t="s">
        <v>11224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11225</v>
      </c>
      <c r="E256" s="16" t="s">
        <v>11226</v>
      </c>
      <c r="F256" s="18">
        <v>2740090.76</v>
      </c>
      <c r="G256" s="18">
        <v>14912.12</v>
      </c>
      <c r="H256" s="18">
        <v>304042.27</v>
      </c>
      <c r="I256" s="18">
        <v>0</v>
      </c>
      <c r="J256" s="18">
        <v>19895.63</v>
      </c>
      <c r="K256" s="18">
        <v>0</v>
      </c>
      <c r="L256" s="18">
        <v>31.68</v>
      </c>
      <c r="M256" s="20">
        <v>2431033.2999999998</v>
      </c>
      <c r="N256" s="20"/>
      <c r="O256" s="19"/>
    </row>
    <row r="257" spans="1:15" s="16" customFormat="1" hidden="1" x14ac:dyDescent="0.25">
      <c r="A257" s="16" t="s">
        <v>51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11227</v>
      </c>
      <c r="E257" s="16" t="s">
        <v>11228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11229</v>
      </c>
      <c r="E258" s="16" t="s">
        <v>11230</v>
      </c>
      <c r="F258" s="18">
        <v>6107892.7400000002</v>
      </c>
      <c r="G258" s="18">
        <v>2438280.12</v>
      </c>
      <c r="H258" s="18">
        <v>1831655.36</v>
      </c>
      <c r="I258" s="18">
        <v>3172.05</v>
      </c>
      <c r="J258" s="18">
        <v>164201.57</v>
      </c>
      <c r="K258" s="18">
        <v>0</v>
      </c>
      <c r="L258" s="18">
        <v>4518.29</v>
      </c>
      <c r="M258" s="20">
        <v>6548969.6900000004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11231</v>
      </c>
      <c r="E259" s="16" t="s">
        <v>11232</v>
      </c>
      <c r="F259" s="18">
        <v>23039.77</v>
      </c>
      <c r="G259" s="18">
        <v>7590.0000000000009</v>
      </c>
      <c r="H259" s="18">
        <v>3274.74</v>
      </c>
      <c r="I259" s="18">
        <v>0</v>
      </c>
      <c r="J259" s="18">
        <v>2002.1399999999999</v>
      </c>
      <c r="K259" s="18">
        <v>0</v>
      </c>
      <c r="L259" s="18">
        <v>275.34999999999997</v>
      </c>
      <c r="M259" s="20">
        <v>25077.539999999997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11233</v>
      </c>
      <c r="E260" s="16" t="s">
        <v>11234</v>
      </c>
      <c r="F260" s="18">
        <v>1690135.48</v>
      </c>
      <c r="G260" s="18">
        <v>35036.04</v>
      </c>
      <c r="H260" s="18">
        <v>69142.62000000001</v>
      </c>
      <c r="I260" s="18">
        <v>21486.77</v>
      </c>
      <c r="J260" s="18">
        <v>36084.43</v>
      </c>
      <c r="K260" s="18">
        <v>393</v>
      </c>
      <c r="L260" s="18">
        <v>836.54</v>
      </c>
      <c r="M260" s="20">
        <v>1640987.7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11235</v>
      </c>
      <c r="E261" s="16" t="s">
        <v>11236</v>
      </c>
      <c r="F261" s="18">
        <v>55206.020000000004</v>
      </c>
      <c r="G261" s="18">
        <v>39.65</v>
      </c>
      <c r="H261" s="18">
        <v>5771.4</v>
      </c>
      <c r="I261" s="18">
        <v>0</v>
      </c>
      <c r="J261" s="18">
        <v>3924.41</v>
      </c>
      <c r="K261" s="18">
        <v>0</v>
      </c>
      <c r="L261" s="18">
        <v>56.2</v>
      </c>
      <c r="M261" s="20">
        <v>45493.659999999996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11237</v>
      </c>
      <c r="E262" s="16" t="s">
        <v>11238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11239</v>
      </c>
      <c r="E263" s="16" t="s">
        <v>11240</v>
      </c>
      <c r="F263" s="18">
        <v>1427931.01</v>
      </c>
      <c r="G263" s="18">
        <v>282100.59000000003</v>
      </c>
      <c r="H263" s="18">
        <v>250773.34</v>
      </c>
      <c r="I263" s="18">
        <v>0</v>
      </c>
      <c r="J263" s="18">
        <v>36269.1</v>
      </c>
      <c r="K263" s="18">
        <v>0</v>
      </c>
      <c r="L263" s="18">
        <v>9401.2900000000009</v>
      </c>
      <c r="M263" s="20">
        <v>1413587.87</v>
      </c>
      <c r="N263" s="20"/>
      <c r="O263" s="19"/>
    </row>
    <row r="264" spans="1:15" s="16" customFormat="1" x14ac:dyDescent="0.25">
      <c r="A264" s="16" t="s">
        <v>51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11241</v>
      </c>
      <c r="E264" s="16" t="s">
        <v>11242</v>
      </c>
      <c r="F264" s="18">
        <v>13303.590000000002</v>
      </c>
      <c r="G264" s="18">
        <v>11.52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13315.11</v>
      </c>
      <c r="N264" s="20"/>
      <c r="O264" s="19"/>
    </row>
    <row r="265" spans="1:15" s="16" customFormat="1" x14ac:dyDescent="0.25">
      <c r="A265" s="16" t="s">
        <v>51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11243</v>
      </c>
      <c r="E265" s="16" t="s">
        <v>11244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11245</v>
      </c>
      <c r="E266" s="16" t="s">
        <v>11246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11247</v>
      </c>
      <c r="E267" s="16" t="s">
        <v>11248</v>
      </c>
      <c r="F267" s="18">
        <v>2096.04</v>
      </c>
      <c r="G267" s="18">
        <v>242.6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2338.6400000000003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11249</v>
      </c>
      <c r="E268" s="16" t="s">
        <v>11250</v>
      </c>
      <c r="F268" s="18">
        <v>18425504.190000001</v>
      </c>
      <c r="G268" s="18">
        <v>1845536.25</v>
      </c>
      <c r="H268" s="18">
        <v>321344.93</v>
      </c>
      <c r="I268" s="18">
        <v>6675.6299999999992</v>
      </c>
      <c r="J268" s="18">
        <v>137348.91999999998</v>
      </c>
      <c r="K268" s="18">
        <v>1435.31</v>
      </c>
      <c r="L268" s="18">
        <v>42940.800000000003</v>
      </c>
      <c r="M268" s="20">
        <v>19777516.73</v>
      </c>
      <c r="N268" s="20"/>
      <c r="O268" s="19"/>
    </row>
    <row r="269" spans="1:15" s="16" customFormat="1" hidden="1" x14ac:dyDescent="0.25">
      <c r="A269" s="16" t="s">
        <v>51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11251</v>
      </c>
      <c r="E269" s="16" t="s">
        <v>11252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11253</v>
      </c>
      <c r="E270" s="16" t="s">
        <v>11254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11255</v>
      </c>
      <c r="E271" s="16" t="s">
        <v>11256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11257</v>
      </c>
      <c r="E272" s="16" t="s">
        <v>11258</v>
      </c>
      <c r="F272" s="18">
        <v>8955</v>
      </c>
      <c r="G272" s="18">
        <v>499.99999999999994</v>
      </c>
      <c r="H272" s="18">
        <v>0</v>
      </c>
      <c r="I272" s="18">
        <v>0</v>
      </c>
      <c r="J272" s="18">
        <v>33</v>
      </c>
      <c r="K272" s="18">
        <v>0</v>
      </c>
      <c r="L272" s="18">
        <v>0</v>
      </c>
      <c r="M272" s="20">
        <v>9422</v>
      </c>
      <c r="N272" s="20"/>
      <c r="O272" s="19"/>
    </row>
    <row r="273" spans="1:15" s="16" customFormat="1" hidden="1" x14ac:dyDescent="0.25">
      <c r="A273" s="16" t="s">
        <v>51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11259</v>
      </c>
      <c r="E273" s="16" t="s">
        <v>11260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11261</v>
      </c>
      <c r="E274" s="16" t="s">
        <v>11262</v>
      </c>
      <c r="F274" s="18">
        <v>2031650.4</v>
      </c>
      <c r="G274" s="18">
        <v>0</v>
      </c>
      <c r="H274" s="18">
        <v>6106.0199999999995</v>
      </c>
      <c r="I274" s="18">
        <v>0</v>
      </c>
      <c r="J274" s="18">
        <v>2809.61</v>
      </c>
      <c r="K274" s="18">
        <v>0</v>
      </c>
      <c r="L274" s="18">
        <v>0</v>
      </c>
      <c r="M274" s="20">
        <v>2022734.7699999998</v>
      </c>
      <c r="N274" s="20"/>
      <c r="O274" s="19"/>
    </row>
    <row r="275" spans="1:15" s="16" customFormat="1" x14ac:dyDescent="0.25">
      <c r="A275" s="16" t="s">
        <v>51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11263</v>
      </c>
      <c r="E275" s="16" t="s">
        <v>11264</v>
      </c>
      <c r="F275" s="18">
        <v>3920.1899999999996</v>
      </c>
      <c r="G275" s="18">
        <v>26.52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3946.7099999999996</v>
      </c>
      <c r="N275" s="20"/>
      <c r="O275" s="19"/>
    </row>
    <row r="276" spans="1:15" s="16" customFormat="1" hidden="1" x14ac:dyDescent="0.25">
      <c r="A276" s="16" t="s">
        <v>51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11265</v>
      </c>
      <c r="E276" s="16" t="s">
        <v>11266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11267</v>
      </c>
      <c r="E277" s="16" t="s">
        <v>11268</v>
      </c>
      <c r="F277" s="18">
        <v>1670671.5899999999</v>
      </c>
      <c r="G277" s="18">
        <v>-88.31</v>
      </c>
      <c r="H277" s="18">
        <v>407767.13000000006</v>
      </c>
      <c r="I277" s="18">
        <v>4285.91</v>
      </c>
      <c r="J277" s="18">
        <v>3450.4599999999996</v>
      </c>
      <c r="K277" s="18">
        <v>5958.52</v>
      </c>
      <c r="L277" s="18">
        <v>2985.5</v>
      </c>
      <c r="M277" s="20">
        <v>1266624.6200000001</v>
      </c>
      <c r="N277" s="20"/>
      <c r="O277" s="19"/>
    </row>
    <row r="278" spans="1:15" s="16" customFormat="1" x14ac:dyDescent="0.25">
      <c r="A278" s="16" t="s">
        <v>51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11269</v>
      </c>
      <c r="E278" s="16" t="s">
        <v>11270</v>
      </c>
      <c r="F278" s="18">
        <v>548937.9</v>
      </c>
      <c r="G278" s="18">
        <v>13315.71</v>
      </c>
      <c r="H278" s="18">
        <v>12878.4</v>
      </c>
      <c r="I278" s="18">
        <v>0</v>
      </c>
      <c r="J278" s="18">
        <v>8763.880000000001</v>
      </c>
      <c r="K278" s="18">
        <v>139</v>
      </c>
      <c r="L278" s="18">
        <v>0</v>
      </c>
      <c r="M278" s="20">
        <v>540750.32999999996</v>
      </c>
      <c r="N278" s="20"/>
      <c r="O278" s="19"/>
    </row>
    <row r="279" spans="1:15" s="16" customFormat="1" x14ac:dyDescent="0.25">
      <c r="A279" s="16" t="s">
        <v>51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11271</v>
      </c>
      <c r="E279" s="16" t="s">
        <v>11272</v>
      </c>
      <c r="F279" s="18">
        <v>0</v>
      </c>
      <c r="G279" s="18">
        <v>0</v>
      </c>
      <c r="H279" s="18">
        <v>0</v>
      </c>
      <c r="I279" s="18">
        <v>19</v>
      </c>
      <c r="J279" s="18">
        <v>0</v>
      </c>
      <c r="K279" s="18">
        <v>0</v>
      </c>
      <c r="L279" s="18">
        <v>0</v>
      </c>
      <c r="M279" s="20">
        <v>19</v>
      </c>
      <c r="N279" s="20"/>
      <c r="O279" s="19"/>
    </row>
    <row r="280" spans="1:15" s="16" customFormat="1" x14ac:dyDescent="0.25">
      <c r="A280" s="16" t="s">
        <v>51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11273</v>
      </c>
      <c r="E280" s="16" t="s">
        <v>11274</v>
      </c>
      <c r="F280" s="18">
        <v>0</v>
      </c>
      <c r="G280" s="18">
        <v>0</v>
      </c>
      <c r="H280" s="18">
        <v>0</v>
      </c>
      <c r="I280" s="18">
        <v>37</v>
      </c>
      <c r="J280" s="18">
        <v>0</v>
      </c>
      <c r="K280" s="18">
        <v>0</v>
      </c>
      <c r="L280" s="18">
        <v>0</v>
      </c>
      <c r="M280" s="20">
        <v>37</v>
      </c>
      <c r="N280" s="20"/>
      <c r="O280" s="19"/>
    </row>
    <row r="281" spans="1:15" s="16" customFormat="1" x14ac:dyDescent="0.25">
      <c r="A281" s="16" t="s">
        <v>51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11275</v>
      </c>
      <c r="E281" s="16" t="s">
        <v>11276</v>
      </c>
      <c r="F281" s="18">
        <v>1114750.31</v>
      </c>
      <c r="G281" s="18">
        <v>1078.28</v>
      </c>
      <c r="H281" s="18">
        <v>18225.330000000002</v>
      </c>
      <c r="I281" s="18">
        <v>37767</v>
      </c>
      <c r="J281" s="18">
        <v>11984.49</v>
      </c>
      <c r="K281" s="18">
        <v>0</v>
      </c>
      <c r="L281" s="18">
        <v>463.21999999999997</v>
      </c>
      <c r="M281" s="20">
        <v>1122922.55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11277</v>
      </c>
      <c r="E282" s="16" t="s">
        <v>11278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11279</v>
      </c>
      <c r="E283" s="16" t="s">
        <v>11280</v>
      </c>
      <c r="F283" s="18">
        <v>398686.38</v>
      </c>
      <c r="G283" s="18">
        <v>233608.49000000002</v>
      </c>
      <c r="H283" s="18">
        <v>29053.21</v>
      </c>
      <c r="I283" s="18">
        <v>0</v>
      </c>
      <c r="J283" s="18">
        <v>6854</v>
      </c>
      <c r="K283" s="18">
        <v>0</v>
      </c>
      <c r="L283" s="18">
        <v>2677.4700000000003</v>
      </c>
      <c r="M283" s="20">
        <v>593710.19000000006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11281</v>
      </c>
      <c r="E284" s="16" t="s">
        <v>11282</v>
      </c>
      <c r="F284" s="18">
        <v>35.799999999999997</v>
      </c>
      <c r="G284" s="18">
        <v>0.01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35.809999999999995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11283</v>
      </c>
      <c r="E285" s="16" t="s">
        <v>11284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11285</v>
      </c>
      <c r="E286" s="16" t="s">
        <v>11286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11287</v>
      </c>
      <c r="E287" s="16" t="s">
        <v>11288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11289</v>
      </c>
      <c r="E288" s="16" t="s">
        <v>11290</v>
      </c>
      <c r="F288" s="18">
        <v>8168442.6299999999</v>
      </c>
      <c r="G288" s="18">
        <v>7454658.2700000005</v>
      </c>
      <c r="H288" s="18">
        <v>5654499.8799999999</v>
      </c>
      <c r="I288" s="18">
        <v>1132.47</v>
      </c>
      <c r="J288" s="18">
        <v>2777454.73</v>
      </c>
      <c r="K288" s="18">
        <v>0</v>
      </c>
      <c r="L288" s="18">
        <v>41492.019999999997</v>
      </c>
      <c r="M288" s="20">
        <v>7150786.7400000002</v>
      </c>
      <c r="N288" s="20"/>
      <c r="O288" s="19"/>
    </row>
    <row r="289" spans="1:15" s="16" customFormat="1" hidden="1" x14ac:dyDescent="0.25">
      <c r="A289" s="16" t="s">
        <v>51</v>
      </c>
      <c r="B289" s="16" t="str">
        <f t="shared" si="4"/>
        <v>hide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11291</v>
      </c>
      <c r="E289" s="16" t="s">
        <v>11292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hidden="1" x14ac:dyDescent="0.25">
      <c r="A290" s="16" t="s">
        <v>51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11293</v>
      </c>
      <c r="E290" s="16" t="s">
        <v>11294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11295</v>
      </c>
      <c r="E291" s="16" t="s">
        <v>11296</v>
      </c>
      <c r="F291" s="18">
        <v>47257.159999999996</v>
      </c>
      <c r="G291" s="18">
        <v>585.5</v>
      </c>
      <c r="H291" s="18">
        <v>16216.23</v>
      </c>
      <c r="I291" s="18">
        <v>0</v>
      </c>
      <c r="J291" s="18">
        <v>28</v>
      </c>
      <c r="K291" s="18">
        <v>400</v>
      </c>
      <c r="L291" s="18">
        <v>0</v>
      </c>
      <c r="M291" s="20">
        <v>31998.43</v>
      </c>
      <c r="N291" s="20"/>
      <c r="O291" s="19"/>
    </row>
    <row r="292" spans="1:15" s="16" customFormat="1" hidden="1" x14ac:dyDescent="0.25">
      <c r="A292" s="16" t="s">
        <v>51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11297</v>
      </c>
      <c r="E292" s="16" t="s">
        <v>11298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11299</v>
      </c>
      <c r="E293" s="16" t="s">
        <v>11300</v>
      </c>
      <c r="F293" s="18">
        <v>76198.17</v>
      </c>
      <c r="G293" s="18">
        <v>4811.7700000000004</v>
      </c>
      <c r="H293" s="18">
        <v>9464.9</v>
      </c>
      <c r="I293" s="18">
        <v>0</v>
      </c>
      <c r="J293" s="18">
        <v>5054.9800000000005</v>
      </c>
      <c r="K293" s="18">
        <v>0</v>
      </c>
      <c r="L293" s="18">
        <v>0</v>
      </c>
      <c r="M293" s="20">
        <v>66490.06</v>
      </c>
      <c r="N293" s="20"/>
      <c r="O293" s="19"/>
    </row>
    <row r="294" spans="1:15" s="16" customFormat="1" hidden="1" x14ac:dyDescent="0.25">
      <c r="A294" s="16" t="s">
        <v>51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11301</v>
      </c>
      <c r="E294" s="16" t="s">
        <v>11302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11303</v>
      </c>
      <c r="E295" s="16" t="s">
        <v>11304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11305</v>
      </c>
      <c r="E296" s="16" t="s">
        <v>11306</v>
      </c>
      <c r="F296" s="18">
        <v>4340715.0599999996</v>
      </c>
      <c r="G296" s="18">
        <v>4274.25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4344989.3099999996</v>
      </c>
      <c r="N296" s="20"/>
      <c r="O296" s="19"/>
    </row>
    <row r="297" spans="1:15" s="16" customFormat="1" hidden="1" x14ac:dyDescent="0.25">
      <c r="A297" s="16" t="s">
        <v>51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11307</v>
      </c>
      <c r="E297" s="16" t="s">
        <v>11308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11309</v>
      </c>
      <c r="E298" s="16" t="s">
        <v>11310</v>
      </c>
      <c r="F298" s="18">
        <v>29714643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29714643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11311</v>
      </c>
      <c r="E299" s="16" t="s">
        <v>11312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11313</v>
      </c>
      <c r="E300" s="16" t="s">
        <v>11314</v>
      </c>
      <c r="F300" s="18">
        <v>188.48</v>
      </c>
      <c r="G300" s="18">
        <v>0.09</v>
      </c>
      <c r="H300" s="18">
        <v>0</v>
      </c>
      <c r="I300" s="18">
        <v>1</v>
      </c>
      <c r="J300" s="18">
        <v>0</v>
      </c>
      <c r="K300" s="18">
        <v>0</v>
      </c>
      <c r="L300" s="18">
        <v>0</v>
      </c>
      <c r="M300" s="20">
        <v>189.57</v>
      </c>
      <c r="N300" s="20"/>
      <c r="O300" s="19"/>
    </row>
    <row r="301" spans="1:15" s="16" customFormat="1" hidden="1" x14ac:dyDescent="0.25">
      <c r="A301" s="16" t="s">
        <v>51</v>
      </c>
      <c r="B301" s="16" t="str">
        <f t="shared" si="4"/>
        <v>hide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11315</v>
      </c>
      <c r="E301" s="16" t="s">
        <v>11316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51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11317</v>
      </c>
      <c r="E302" s="16" t="s">
        <v>11318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11319</v>
      </c>
      <c r="E303" s="16" t="s">
        <v>11320</v>
      </c>
      <c r="F303" s="18">
        <v>896218.76</v>
      </c>
      <c r="G303" s="18">
        <v>10471.949999999999</v>
      </c>
      <c r="H303" s="18">
        <v>562415.02</v>
      </c>
      <c r="I303" s="18">
        <v>1020919.01</v>
      </c>
      <c r="J303" s="18">
        <v>294918.42</v>
      </c>
      <c r="K303" s="18">
        <v>0</v>
      </c>
      <c r="L303" s="18">
        <v>10733.85</v>
      </c>
      <c r="M303" s="20">
        <v>1059542.4300000002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11321</v>
      </c>
      <c r="E304" s="16" t="s">
        <v>11322</v>
      </c>
      <c r="F304" s="18">
        <v>4338644.6000000006</v>
      </c>
      <c r="G304" s="18">
        <v>5850.59</v>
      </c>
      <c r="H304" s="18">
        <v>3454753.2099999995</v>
      </c>
      <c r="I304" s="18">
        <v>1226.97</v>
      </c>
      <c r="J304" s="18">
        <v>971148.17</v>
      </c>
      <c r="K304" s="18">
        <v>10013901.149999999</v>
      </c>
      <c r="L304" s="18">
        <v>4027.86</v>
      </c>
      <c r="M304" s="20">
        <v>9929694.0700000003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11323</v>
      </c>
      <c r="E305" s="16" t="s">
        <v>11324</v>
      </c>
      <c r="F305" s="18">
        <v>9134.5399999999991</v>
      </c>
      <c r="G305" s="18">
        <v>2.96</v>
      </c>
      <c r="H305" s="18">
        <v>12811.96</v>
      </c>
      <c r="I305" s="18">
        <v>15999.999999999998</v>
      </c>
      <c r="J305" s="18">
        <v>6363.08</v>
      </c>
      <c r="K305" s="18">
        <v>0</v>
      </c>
      <c r="L305" s="18">
        <v>96.54</v>
      </c>
      <c r="M305" s="20">
        <v>5865.92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11325</v>
      </c>
      <c r="E306" s="16" t="s">
        <v>11326</v>
      </c>
      <c r="F306" s="18">
        <v>6433724.1899999995</v>
      </c>
      <c r="G306" s="18">
        <v>171072.25</v>
      </c>
      <c r="H306" s="18">
        <v>587785.44999999995</v>
      </c>
      <c r="I306" s="18">
        <v>30459.05</v>
      </c>
      <c r="J306" s="18">
        <v>166115.42000000001</v>
      </c>
      <c r="K306" s="18">
        <v>862417.26</v>
      </c>
      <c r="L306" s="18">
        <v>28186.880000000001</v>
      </c>
      <c r="M306" s="20">
        <v>6715585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11327</v>
      </c>
      <c r="E307" s="16" t="s">
        <v>11328</v>
      </c>
      <c r="F307" s="18">
        <v>13395938.460000001</v>
      </c>
      <c r="G307" s="18">
        <v>452477.10000000003</v>
      </c>
      <c r="H307" s="18">
        <v>770958.34</v>
      </c>
      <c r="I307" s="18">
        <v>0</v>
      </c>
      <c r="J307" s="18">
        <v>273556.57</v>
      </c>
      <c r="K307" s="18">
        <v>90996.06</v>
      </c>
      <c r="L307" s="18">
        <v>12341.3</v>
      </c>
      <c r="M307" s="20">
        <v>12882555.409999998</v>
      </c>
      <c r="N307" s="20"/>
      <c r="O307" s="19"/>
    </row>
    <row r="308" spans="1:15" s="16" customFormat="1" hidden="1" x14ac:dyDescent="0.25">
      <c r="A308" s="16" t="s">
        <v>51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11329</v>
      </c>
      <c r="E308" s="16" t="s">
        <v>11330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11331</v>
      </c>
      <c r="E309" s="16" t="s">
        <v>11332</v>
      </c>
      <c r="F309" s="18">
        <v>15172.250000000002</v>
      </c>
      <c r="G309" s="18">
        <v>0</v>
      </c>
      <c r="H309" s="18">
        <v>796.85</v>
      </c>
      <c r="I309" s="18">
        <v>0</v>
      </c>
      <c r="J309" s="18">
        <v>463.34999999999997</v>
      </c>
      <c r="K309" s="18">
        <v>1141.44</v>
      </c>
      <c r="L309" s="18">
        <v>0</v>
      </c>
      <c r="M309" s="20">
        <v>15053.49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11333</v>
      </c>
      <c r="E310" s="16" t="s">
        <v>11334</v>
      </c>
      <c r="F310" s="18">
        <v>65</v>
      </c>
      <c r="G310" s="18">
        <v>260.90000000000003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325.89999999999998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11335</v>
      </c>
      <c r="E311" s="16" t="s">
        <v>11336</v>
      </c>
      <c r="F311" s="18">
        <v>71868.11</v>
      </c>
      <c r="G311" s="18">
        <v>34.1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71890.66</v>
      </c>
      <c r="N311" s="20"/>
      <c r="O311" s="19"/>
    </row>
    <row r="312" spans="1:15" s="16" customFormat="1" x14ac:dyDescent="0.25">
      <c r="A312" s="16" t="s">
        <v>51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11337</v>
      </c>
      <c r="E312" s="16" t="s">
        <v>11338</v>
      </c>
      <c r="F312" s="18">
        <v>30687</v>
      </c>
      <c r="G312" s="18">
        <v>0</v>
      </c>
      <c r="H312" s="18">
        <v>0</v>
      </c>
      <c r="I312" s="18">
        <v>0</v>
      </c>
      <c r="J312" s="18">
        <v>0</v>
      </c>
      <c r="K312" s="18">
        <v>70.67</v>
      </c>
      <c r="L312" s="18">
        <v>0</v>
      </c>
      <c r="M312" s="20">
        <v>30757.67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11339</v>
      </c>
      <c r="E313" s="16" t="s">
        <v>11340</v>
      </c>
      <c r="F313" s="18">
        <v>16794.599999999999</v>
      </c>
      <c r="G313" s="18">
        <v>171.85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16966.45</v>
      </c>
      <c r="N313" s="20"/>
      <c r="O313" s="19"/>
    </row>
    <row r="314" spans="1:15" s="16" customFormat="1" x14ac:dyDescent="0.25">
      <c r="A314" s="16" t="s">
        <v>51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11341</v>
      </c>
      <c r="E314" s="16" t="s">
        <v>11342</v>
      </c>
      <c r="F314" s="18">
        <v>24259.239999999998</v>
      </c>
      <c r="G314" s="18">
        <v>0</v>
      </c>
      <c r="H314" s="18">
        <v>0</v>
      </c>
      <c r="I314" s="18">
        <v>0</v>
      </c>
      <c r="J314" s="18">
        <v>28</v>
      </c>
      <c r="K314" s="18">
        <v>0</v>
      </c>
      <c r="L314" s="18">
        <v>0</v>
      </c>
      <c r="M314" s="20">
        <v>24231.24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11343</v>
      </c>
      <c r="E315" s="16" t="s">
        <v>11344</v>
      </c>
      <c r="F315" s="18">
        <v>2245887.5700000003</v>
      </c>
      <c r="G315" s="18">
        <v>670925.86</v>
      </c>
      <c r="H315" s="18">
        <v>695785.26</v>
      </c>
      <c r="I315" s="18">
        <v>0</v>
      </c>
      <c r="J315" s="18">
        <v>2256.4</v>
      </c>
      <c r="K315" s="18">
        <v>0</v>
      </c>
      <c r="L315" s="18">
        <v>1815.8400000000001</v>
      </c>
      <c r="M315" s="20">
        <v>2216955.9299999997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11345</v>
      </c>
      <c r="E316" s="16" t="s">
        <v>11346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11347</v>
      </c>
      <c r="E317" s="16" t="s">
        <v>11348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11349</v>
      </c>
      <c r="E318" s="16" t="s">
        <v>11350</v>
      </c>
      <c r="F318" s="18">
        <v>239165.91999999998</v>
      </c>
      <c r="G318" s="18">
        <v>3562.54</v>
      </c>
      <c r="H318" s="18">
        <v>0</v>
      </c>
      <c r="I318" s="18">
        <v>0</v>
      </c>
      <c r="J318" s="18">
        <v>196</v>
      </c>
      <c r="K318" s="18">
        <v>0</v>
      </c>
      <c r="L318" s="18">
        <v>0</v>
      </c>
      <c r="M318" s="20">
        <v>242532.46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11351</v>
      </c>
      <c r="E319" s="16" t="s">
        <v>11352</v>
      </c>
      <c r="F319" s="18">
        <v>6927873.21</v>
      </c>
      <c r="G319" s="18">
        <v>342282.22000000003</v>
      </c>
      <c r="H319" s="18">
        <v>153527.69</v>
      </c>
      <c r="I319" s="18">
        <v>0</v>
      </c>
      <c r="J319" s="18">
        <v>85167.67</v>
      </c>
      <c r="K319" s="18">
        <v>0</v>
      </c>
      <c r="L319" s="18">
        <v>8656.73</v>
      </c>
      <c r="M319" s="20">
        <v>7022803.3399999989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11353</v>
      </c>
      <c r="E320" s="16" t="s">
        <v>11354</v>
      </c>
      <c r="F320" s="18">
        <v>32846.199999999997</v>
      </c>
      <c r="G320" s="18">
        <v>781.7600000000001</v>
      </c>
      <c r="H320" s="18">
        <v>3236.5499999999997</v>
      </c>
      <c r="I320" s="18">
        <v>0</v>
      </c>
      <c r="J320" s="18">
        <v>4.3600000000000003</v>
      </c>
      <c r="K320" s="18">
        <v>14728.36</v>
      </c>
      <c r="L320" s="18">
        <v>0.04</v>
      </c>
      <c r="M320" s="20">
        <v>45115.369999999995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11355</v>
      </c>
      <c r="E321" s="16" t="s">
        <v>11356</v>
      </c>
      <c r="F321" s="18">
        <v>331301</v>
      </c>
      <c r="G321" s="18">
        <v>0</v>
      </c>
      <c r="H321" s="18">
        <v>0</v>
      </c>
      <c r="I321" s="18">
        <v>0</v>
      </c>
      <c r="J321" s="18">
        <v>190.00000000000003</v>
      </c>
      <c r="K321" s="18">
        <v>0</v>
      </c>
      <c r="L321" s="18">
        <v>0</v>
      </c>
      <c r="M321" s="20">
        <v>331111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11357</v>
      </c>
      <c r="E322" s="16" t="s">
        <v>11358</v>
      </c>
      <c r="F322" s="18">
        <v>176042.41</v>
      </c>
      <c r="G322" s="18">
        <v>7600.1299999999992</v>
      </c>
      <c r="H322" s="18">
        <v>29124.039999999997</v>
      </c>
      <c r="I322" s="18">
        <v>0</v>
      </c>
      <c r="J322" s="18">
        <v>14617.730000000001</v>
      </c>
      <c r="K322" s="18">
        <v>7368.6600000000008</v>
      </c>
      <c r="L322" s="18">
        <v>131.70999999999998</v>
      </c>
      <c r="M322" s="20">
        <v>147137.72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11359</v>
      </c>
      <c r="E323" s="16" t="s">
        <v>11360</v>
      </c>
      <c r="F323" s="18">
        <v>411317.70999999996</v>
      </c>
      <c r="G323" s="18">
        <v>774202.67</v>
      </c>
      <c r="H323" s="18">
        <v>85367.44</v>
      </c>
      <c r="I323" s="18">
        <v>0</v>
      </c>
      <c r="J323" s="18">
        <v>46139.97</v>
      </c>
      <c r="K323" s="18">
        <v>0</v>
      </c>
      <c r="L323" s="18">
        <v>2725.92</v>
      </c>
      <c r="M323" s="20">
        <v>1051287.05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11361</v>
      </c>
      <c r="E324" s="16" t="s">
        <v>11362</v>
      </c>
      <c r="F324" s="18">
        <v>21894.85</v>
      </c>
      <c r="G324" s="18">
        <v>21194.79</v>
      </c>
      <c r="H324" s="18">
        <v>0</v>
      </c>
      <c r="I324" s="18">
        <v>0</v>
      </c>
      <c r="J324" s="18">
        <v>77</v>
      </c>
      <c r="K324" s="18">
        <v>0</v>
      </c>
      <c r="L324" s="18">
        <v>0</v>
      </c>
      <c r="M324" s="20">
        <v>43012.639999999999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11363</v>
      </c>
      <c r="E325" s="16" t="s">
        <v>11364</v>
      </c>
      <c r="F325" s="18">
        <v>1565025.39</v>
      </c>
      <c r="G325" s="18">
        <v>4792060.72</v>
      </c>
      <c r="H325" s="18">
        <v>757385.61</v>
      </c>
      <c r="I325" s="18">
        <v>241762.85000000003</v>
      </c>
      <c r="J325" s="18">
        <v>331767.56</v>
      </c>
      <c r="K325" s="18">
        <v>0</v>
      </c>
      <c r="L325" s="18">
        <v>4482.76</v>
      </c>
      <c r="M325" s="20">
        <v>5505213.0300000003</v>
      </c>
      <c r="N325" s="20"/>
      <c r="O325" s="19"/>
    </row>
    <row r="326" spans="1:15" s="16" customFormat="1" hidden="1" x14ac:dyDescent="0.25">
      <c r="A326" s="16" t="s">
        <v>51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11365</v>
      </c>
      <c r="E326" s="16" t="s">
        <v>11366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11367</v>
      </c>
      <c r="E327" s="16" t="s">
        <v>11368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11369</v>
      </c>
      <c r="E328" s="16" t="s">
        <v>11370</v>
      </c>
      <c r="F328" s="18">
        <v>917802.5</v>
      </c>
      <c r="G328" s="18">
        <v>374686.57</v>
      </c>
      <c r="H328" s="18">
        <v>222405.59</v>
      </c>
      <c r="I328" s="18">
        <v>0</v>
      </c>
      <c r="J328" s="18">
        <v>119764.72000000002</v>
      </c>
      <c r="K328" s="18">
        <v>0</v>
      </c>
      <c r="L328" s="18">
        <v>1840.37</v>
      </c>
      <c r="M328" s="20">
        <v>948478.39000000013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11371</v>
      </c>
      <c r="E329" s="16" t="s">
        <v>11372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11373</v>
      </c>
      <c r="E330" s="16" t="s">
        <v>11374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11375</v>
      </c>
      <c r="E331" s="16" t="s">
        <v>11376</v>
      </c>
      <c r="F331" s="18">
        <v>5203293.1100000003</v>
      </c>
      <c r="G331" s="18">
        <v>68909.210000000006</v>
      </c>
      <c r="H331" s="18">
        <v>56029.700000000004</v>
      </c>
      <c r="I331" s="18">
        <v>0</v>
      </c>
      <c r="J331" s="18">
        <v>15838.68</v>
      </c>
      <c r="K331" s="18">
        <v>0</v>
      </c>
      <c r="L331" s="18">
        <v>298.72000000000003</v>
      </c>
      <c r="M331" s="20">
        <v>5200035.22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11377</v>
      </c>
      <c r="E332" s="16" t="s">
        <v>11378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11379</v>
      </c>
      <c r="E333" s="16" t="s">
        <v>11380</v>
      </c>
      <c r="F333" s="18">
        <v>2071878.86</v>
      </c>
      <c r="G333" s="18">
        <v>56081.93</v>
      </c>
      <c r="H333" s="18">
        <v>96561.63</v>
      </c>
      <c r="I333" s="18">
        <v>0</v>
      </c>
      <c r="J333" s="18">
        <v>12204.289999999999</v>
      </c>
      <c r="K333" s="18">
        <v>0</v>
      </c>
      <c r="L333" s="18">
        <v>0</v>
      </c>
      <c r="M333" s="20">
        <v>2019194.8699999999</v>
      </c>
      <c r="N333" s="20"/>
      <c r="O333" s="19"/>
    </row>
    <row r="334" spans="1:15" s="16" customFormat="1" hidden="1" x14ac:dyDescent="0.25">
      <c r="A334" s="16" t="s">
        <v>51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11381</v>
      </c>
      <c r="E334" s="16" t="s">
        <v>11382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11383</v>
      </c>
      <c r="E335" s="16" t="s">
        <v>11384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11385</v>
      </c>
      <c r="E336" s="16" t="s">
        <v>11386</v>
      </c>
      <c r="F336" s="18">
        <v>1127110.5</v>
      </c>
      <c r="G336" s="18">
        <v>172200</v>
      </c>
      <c r="H336" s="18">
        <v>0</v>
      </c>
      <c r="I336" s="18">
        <v>0</v>
      </c>
      <c r="J336" s="18">
        <v>14655.829999999998</v>
      </c>
      <c r="K336" s="18">
        <v>0</v>
      </c>
      <c r="L336" s="18">
        <v>0</v>
      </c>
      <c r="M336" s="20">
        <v>1284654.67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11387</v>
      </c>
      <c r="E337" s="16" t="s">
        <v>11388</v>
      </c>
      <c r="F337" s="18">
        <v>289823.49</v>
      </c>
      <c r="G337" s="18">
        <v>10481.06</v>
      </c>
      <c r="H337" s="18">
        <v>207.36</v>
      </c>
      <c r="I337" s="18">
        <v>0</v>
      </c>
      <c r="J337" s="18">
        <v>6826.5099999999993</v>
      </c>
      <c r="K337" s="18">
        <v>0</v>
      </c>
      <c r="L337" s="18">
        <v>0</v>
      </c>
      <c r="M337" s="20">
        <v>293270.68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11389</v>
      </c>
      <c r="E338" s="16" t="s">
        <v>11390</v>
      </c>
      <c r="F338" s="18">
        <v>0</v>
      </c>
      <c r="G338" s="18">
        <v>1162527.76</v>
      </c>
      <c r="H338" s="18">
        <v>1162527.76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11391</v>
      </c>
      <c r="E339" s="16" t="s">
        <v>11392</v>
      </c>
      <c r="F339" s="18">
        <v>600144.80000000005</v>
      </c>
      <c r="G339" s="18">
        <v>4639.66</v>
      </c>
      <c r="H339" s="18">
        <v>4747.3</v>
      </c>
      <c r="I339" s="18">
        <v>5</v>
      </c>
      <c r="J339" s="18">
        <v>5147.67</v>
      </c>
      <c r="K339" s="18">
        <v>0</v>
      </c>
      <c r="L339" s="18">
        <v>15.24</v>
      </c>
      <c r="M339" s="20">
        <v>594879.25</v>
      </c>
      <c r="N339" s="20"/>
      <c r="O339" s="19"/>
    </row>
    <row r="340" spans="1:15" s="16" customFormat="1" x14ac:dyDescent="0.25">
      <c r="A340" s="16" t="s">
        <v>51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11393</v>
      </c>
      <c r="E340" s="16" t="s">
        <v>11394</v>
      </c>
      <c r="F340" s="18">
        <v>5721108.3300000001</v>
      </c>
      <c r="G340" s="18">
        <v>1633508.09</v>
      </c>
      <c r="H340" s="18">
        <v>786777.57000000007</v>
      </c>
      <c r="I340" s="18">
        <v>0</v>
      </c>
      <c r="J340" s="18">
        <v>457617.29000000004</v>
      </c>
      <c r="K340" s="18">
        <v>0</v>
      </c>
      <c r="L340" s="18">
        <v>11573.34</v>
      </c>
      <c r="M340" s="20">
        <v>6098648.2199999997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11395</v>
      </c>
      <c r="E341" s="16" t="s">
        <v>11396</v>
      </c>
      <c r="F341" s="18">
        <v>39231.54</v>
      </c>
      <c r="G341" s="18">
        <v>0</v>
      </c>
      <c r="H341" s="18">
        <v>5649.21</v>
      </c>
      <c r="I341" s="18">
        <v>0</v>
      </c>
      <c r="J341" s="18">
        <v>80</v>
      </c>
      <c r="K341" s="18">
        <v>0</v>
      </c>
      <c r="L341" s="18">
        <v>0</v>
      </c>
      <c r="M341" s="20">
        <v>33502.33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11397</v>
      </c>
      <c r="E342" s="16" t="s">
        <v>11398</v>
      </c>
      <c r="F342" s="18">
        <v>38780291.439999998</v>
      </c>
      <c r="G342" s="18">
        <v>1029625.68</v>
      </c>
      <c r="H342" s="18">
        <v>747870.72000000009</v>
      </c>
      <c r="I342" s="18">
        <v>0</v>
      </c>
      <c r="J342" s="18">
        <v>369885.25</v>
      </c>
      <c r="K342" s="18">
        <v>1370</v>
      </c>
      <c r="L342" s="18">
        <v>3169.0400000000004</v>
      </c>
      <c r="M342" s="20">
        <v>38690362.109999999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11399</v>
      </c>
      <c r="E343" s="16" t="s">
        <v>11400</v>
      </c>
      <c r="F343" s="18">
        <v>4958003.7</v>
      </c>
      <c r="G343" s="18">
        <v>193882.88</v>
      </c>
      <c r="H343" s="18">
        <v>68643.990000000005</v>
      </c>
      <c r="I343" s="18">
        <v>0</v>
      </c>
      <c r="J343" s="18">
        <v>40561.879999999997</v>
      </c>
      <c r="K343" s="18">
        <v>0</v>
      </c>
      <c r="L343" s="18">
        <v>317.47999999999996</v>
      </c>
      <c r="M343" s="20">
        <v>5042363.2300000004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11401</v>
      </c>
      <c r="E344" s="16" t="s">
        <v>11402</v>
      </c>
      <c r="F344" s="18">
        <v>14018862.260000002</v>
      </c>
      <c r="G344" s="18">
        <v>959391.26</v>
      </c>
      <c r="H344" s="18">
        <v>1659594.68</v>
      </c>
      <c r="I344" s="18">
        <v>0</v>
      </c>
      <c r="J344" s="18">
        <v>189109.43000000002</v>
      </c>
      <c r="K344" s="18">
        <v>0</v>
      </c>
      <c r="L344" s="18">
        <v>1152.53</v>
      </c>
      <c r="M344" s="20">
        <v>13128396.880000001</v>
      </c>
      <c r="N344" s="20"/>
      <c r="O344" s="19"/>
    </row>
    <row r="345" spans="1:15" s="16" customFormat="1" hidden="1" x14ac:dyDescent="0.25">
      <c r="A345" s="16" t="s">
        <v>51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11403</v>
      </c>
      <c r="E345" s="16" t="s">
        <v>11404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11405</v>
      </c>
      <c r="E346" s="16" t="s">
        <v>11406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11407</v>
      </c>
      <c r="E347" s="16" t="s">
        <v>11408</v>
      </c>
      <c r="F347" s="18">
        <v>126.74999999999999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126.74999999999999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11409</v>
      </c>
      <c r="E348" s="16" t="s">
        <v>11410</v>
      </c>
      <c r="F348" s="18">
        <v>316032.25</v>
      </c>
      <c r="G348" s="18">
        <v>64695</v>
      </c>
      <c r="H348" s="18">
        <v>0</v>
      </c>
      <c r="I348" s="18">
        <v>0</v>
      </c>
      <c r="J348" s="18">
        <v>25457.190000000002</v>
      </c>
      <c r="K348" s="18">
        <v>0</v>
      </c>
      <c r="L348" s="18">
        <v>0</v>
      </c>
      <c r="M348" s="20">
        <v>355270.06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11411</v>
      </c>
      <c r="E349" s="16" t="s">
        <v>11412</v>
      </c>
      <c r="F349" s="18">
        <v>256121.68000000002</v>
      </c>
      <c r="G349" s="18">
        <v>221.54999999999998</v>
      </c>
      <c r="H349" s="18">
        <v>923.47</v>
      </c>
      <c r="I349" s="18">
        <v>0</v>
      </c>
      <c r="J349" s="18">
        <v>2599.0099999999998</v>
      </c>
      <c r="K349" s="18">
        <v>0</v>
      </c>
      <c r="L349" s="18">
        <v>0.28000000000000003</v>
      </c>
      <c r="M349" s="20">
        <v>252820.47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11413</v>
      </c>
      <c r="E350" s="16" t="s">
        <v>11414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11415</v>
      </c>
      <c r="E351" s="16" t="s">
        <v>11416</v>
      </c>
      <c r="F351" s="18">
        <v>3095314.09</v>
      </c>
      <c r="G351" s="18">
        <v>93650.73</v>
      </c>
      <c r="H351" s="18">
        <v>98646.639999999985</v>
      </c>
      <c r="I351" s="18">
        <v>0</v>
      </c>
      <c r="J351" s="18">
        <v>1047706.89</v>
      </c>
      <c r="K351" s="18">
        <v>0</v>
      </c>
      <c r="L351" s="18">
        <v>120.64</v>
      </c>
      <c r="M351" s="20">
        <v>2042490.6500000001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11417</v>
      </c>
      <c r="E352" s="16" t="s">
        <v>11418</v>
      </c>
      <c r="F352" s="18">
        <v>687601.21</v>
      </c>
      <c r="G352" s="18">
        <v>23094.67</v>
      </c>
      <c r="H352" s="18">
        <v>0</v>
      </c>
      <c r="I352" s="18">
        <v>0</v>
      </c>
      <c r="J352" s="18">
        <v>1294</v>
      </c>
      <c r="K352" s="18">
        <v>0</v>
      </c>
      <c r="L352" s="18">
        <v>0</v>
      </c>
      <c r="M352" s="20">
        <v>709401.88</v>
      </c>
      <c r="N352" s="20"/>
      <c r="O352" s="19"/>
    </row>
    <row r="353" spans="1:15" s="16" customFormat="1" x14ac:dyDescent="0.25">
      <c r="A353" s="16" t="s">
        <v>51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11419</v>
      </c>
      <c r="E353" s="16" t="s">
        <v>11420</v>
      </c>
      <c r="F353" s="18">
        <v>466784.92</v>
      </c>
      <c r="G353" s="18">
        <v>397.72</v>
      </c>
      <c r="H353" s="18">
        <v>571.5</v>
      </c>
      <c r="I353" s="18">
        <v>2569</v>
      </c>
      <c r="J353" s="18">
        <v>0</v>
      </c>
      <c r="K353" s="18">
        <v>0</v>
      </c>
      <c r="L353" s="18">
        <v>0</v>
      </c>
      <c r="M353" s="20">
        <v>469180.13999999996</v>
      </c>
      <c r="N353" s="20"/>
      <c r="O353" s="19"/>
    </row>
    <row r="354" spans="1:15" s="16" customFormat="1" x14ac:dyDescent="0.25">
      <c r="A354" s="16" t="s">
        <v>51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11421</v>
      </c>
      <c r="E354" s="16" t="s">
        <v>11422</v>
      </c>
      <c r="F354" s="18">
        <v>941067.29</v>
      </c>
      <c r="G354" s="18">
        <v>5050</v>
      </c>
      <c r="H354" s="18">
        <v>0</v>
      </c>
      <c r="I354" s="18">
        <v>0</v>
      </c>
      <c r="J354" s="18">
        <v>23897.73</v>
      </c>
      <c r="K354" s="18">
        <v>0</v>
      </c>
      <c r="L354" s="18">
        <v>0</v>
      </c>
      <c r="M354" s="20">
        <v>922219.55999999994</v>
      </c>
      <c r="N354" s="20"/>
      <c r="O354" s="19"/>
    </row>
    <row r="355" spans="1:15" s="16" customFormat="1" x14ac:dyDescent="0.25">
      <c r="A355" s="16" t="s">
        <v>51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11423</v>
      </c>
      <c r="E355" s="16" t="s">
        <v>11424</v>
      </c>
      <c r="F355" s="18">
        <v>3242.01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472.5</v>
      </c>
      <c r="M355" s="20">
        <v>2769.5099999999998</v>
      </c>
      <c r="N355" s="20"/>
      <c r="O355" s="19"/>
    </row>
    <row r="356" spans="1:15" s="16" customFormat="1" x14ac:dyDescent="0.25">
      <c r="A356" s="16" t="s">
        <v>51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11425</v>
      </c>
      <c r="E356" s="16" t="s">
        <v>11426</v>
      </c>
      <c r="F356" s="18">
        <v>206867.27000000002</v>
      </c>
      <c r="G356" s="18">
        <v>31946.02</v>
      </c>
      <c r="H356" s="18">
        <v>22709.17</v>
      </c>
      <c r="I356" s="18">
        <v>0</v>
      </c>
      <c r="J356" s="18">
        <v>14560.69</v>
      </c>
      <c r="K356" s="18">
        <v>0</v>
      </c>
      <c r="L356" s="18">
        <v>139.19</v>
      </c>
      <c r="M356" s="20">
        <v>201404.24000000002</v>
      </c>
      <c r="N356" s="20"/>
      <c r="O356" s="19"/>
    </row>
    <row r="357" spans="1:15" s="16" customFormat="1" x14ac:dyDescent="0.25">
      <c r="A357" s="16" t="s">
        <v>51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11427</v>
      </c>
      <c r="E357" s="16" t="s">
        <v>11428</v>
      </c>
      <c r="F357" s="18">
        <v>0</v>
      </c>
      <c r="G357" s="18">
        <v>1126.6399999999999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1126.6399999999999</v>
      </c>
      <c r="N357" s="20"/>
      <c r="O357" s="19"/>
    </row>
    <row r="358" spans="1:15" s="16" customFormat="1" hidden="1" x14ac:dyDescent="0.25">
      <c r="A358" s="16" t="s">
        <v>51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11429</v>
      </c>
      <c r="E358" s="16" t="s">
        <v>11430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11431</v>
      </c>
      <c r="E359" s="16" t="s">
        <v>11432</v>
      </c>
      <c r="F359" s="18">
        <v>413318.23</v>
      </c>
      <c r="G359" s="18">
        <v>59346.990000000005</v>
      </c>
      <c r="H359" s="18">
        <v>27862.32</v>
      </c>
      <c r="I359" s="18">
        <v>0</v>
      </c>
      <c r="J359" s="18">
        <v>25669.83</v>
      </c>
      <c r="K359" s="18">
        <v>0</v>
      </c>
      <c r="L359" s="18">
        <v>266.57</v>
      </c>
      <c r="M359" s="20">
        <v>418866.5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11433</v>
      </c>
      <c r="E360" s="16" t="s">
        <v>11434</v>
      </c>
      <c r="F360" s="18">
        <v>37960616.840000004</v>
      </c>
      <c r="G360" s="18">
        <v>1531993.26</v>
      </c>
      <c r="H360" s="18">
        <v>1083895.25</v>
      </c>
      <c r="I360" s="18">
        <v>0</v>
      </c>
      <c r="J360" s="18">
        <v>121803.42</v>
      </c>
      <c r="K360" s="18">
        <v>0</v>
      </c>
      <c r="L360" s="18">
        <v>1239.9100000000001</v>
      </c>
      <c r="M360" s="20">
        <v>38285671.519999996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11435</v>
      </c>
      <c r="E361" s="16" t="s">
        <v>11436</v>
      </c>
      <c r="F361" s="18">
        <v>167431.38999999998</v>
      </c>
      <c r="G361" s="18">
        <v>1320</v>
      </c>
      <c r="H361" s="18">
        <v>3793.7</v>
      </c>
      <c r="I361" s="18">
        <v>0</v>
      </c>
      <c r="J361" s="18">
        <v>6383.59</v>
      </c>
      <c r="K361" s="18">
        <v>0</v>
      </c>
      <c r="L361" s="18">
        <v>816.56000000000006</v>
      </c>
      <c r="M361" s="20">
        <v>157757.54</v>
      </c>
      <c r="N361" s="20"/>
      <c r="O361" s="19"/>
    </row>
    <row r="362" spans="1:15" s="16" customFormat="1" x14ac:dyDescent="0.25">
      <c r="A362" s="16" t="s">
        <v>51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11437</v>
      </c>
      <c r="E362" s="16" t="s">
        <v>11438</v>
      </c>
      <c r="F362" s="18">
        <v>928045.01</v>
      </c>
      <c r="G362" s="18">
        <v>2930.2200000000003</v>
      </c>
      <c r="H362" s="18">
        <v>269113.27999999997</v>
      </c>
      <c r="I362" s="18">
        <v>0</v>
      </c>
      <c r="J362" s="18">
        <v>10506.95</v>
      </c>
      <c r="K362" s="18">
        <v>0</v>
      </c>
      <c r="L362" s="18">
        <v>10096.35</v>
      </c>
      <c r="M362" s="20">
        <v>641258.65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11439</v>
      </c>
      <c r="E363" s="16" t="s">
        <v>11440</v>
      </c>
      <c r="F363" s="18">
        <v>1751249.9899999998</v>
      </c>
      <c r="G363" s="18">
        <v>15774.89</v>
      </c>
      <c r="H363" s="18">
        <v>60545.2</v>
      </c>
      <c r="I363" s="18">
        <v>0</v>
      </c>
      <c r="J363" s="18">
        <v>42549.55</v>
      </c>
      <c r="K363" s="18">
        <v>0</v>
      </c>
      <c r="L363" s="18">
        <v>2700.43</v>
      </c>
      <c r="M363" s="20">
        <v>1661229.7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11441</v>
      </c>
      <c r="E364" s="16" t="s">
        <v>11442</v>
      </c>
      <c r="F364" s="18">
        <v>13310.2</v>
      </c>
      <c r="G364" s="18">
        <v>1100</v>
      </c>
      <c r="H364" s="18">
        <v>0</v>
      </c>
      <c r="I364" s="18">
        <v>0</v>
      </c>
      <c r="J364" s="18">
        <v>32</v>
      </c>
      <c r="K364" s="18">
        <v>0</v>
      </c>
      <c r="L364" s="18">
        <v>168.46</v>
      </c>
      <c r="M364" s="20">
        <v>14209.74</v>
      </c>
      <c r="N364" s="20"/>
      <c r="O364" s="19"/>
    </row>
    <row r="365" spans="1:15" s="16" customFormat="1" x14ac:dyDescent="0.25">
      <c r="A365" s="16" t="s">
        <v>51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11443</v>
      </c>
      <c r="E365" s="16" t="s">
        <v>11444</v>
      </c>
      <c r="F365" s="18">
        <v>66405.179999999993</v>
      </c>
      <c r="G365" s="18">
        <v>5518.58</v>
      </c>
      <c r="H365" s="18">
        <v>0</v>
      </c>
      <c r="I365" s="18">
        <v>0</v>
      </c>
      <c r="J365" s="18">
        <v>182</v>
      </c>
      <c r="K365" s="18">
        <v>0</v>
      </c>
      <c r="L365" s="18">
        <v>0</v>
      </c>
      <c r="M365" s="20">
        <v>71741.759999999995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11445</v>
      </c>
      <c r="E366" s="16" t="s">
        <v>11446</v>
      </c>
      <c r="F366" s="18">
        <v>455938.24</v>
      </c>
      <c r="G366" s="18">
        <v>97428.99</v>
      </c>
      <c r="H366" s="18">
        <v>0</v>
      </c>
      <c r="I366" s="18">
        <v>0</v>
      </c>
      <c r="J366" s="18">
        <v>1456</v>
      </c>
      <c r="K366" s="18">
        <v>0</v>
      </c>
      <c r="L366" s="18">
        <v>0</v>
      </c>
      <c r="M366" s="20">
        <v>551911.23</v>
      </c>
      <c r="N366" s="20"/>
      <c r="O366" s="19"/>
    </row>
    <row r="367" spans="1:15" s="16" customFormat="1" x14ac:dyDescent="0.25">
      <c r="A367" s="16" t="s">
        <v>51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11447</v>
      </c>
      <c r="E367" s="16" t="s">
        <v>11448</v>
      </c>
      <c r="F367" s="18">
        <v>3788017.3000000003</v>
      </c>
      <c r="G367" s="18">
        <v>5367.99</v>
      </c>
      <c r="H367" s="18">
        <v>85632.59</v>
      </c>
      <c r="I367" s="18">
        <v>0</v>
      </c>
      <c r="J367" s="18">
        <v>7309.1900000000005</v>
      </c>
      <c r="K367" s="18">
        <v>0</v>
      </c>
      <c r="L367" s="18">
        <v>0</v>
      </c>
      <c r="M367" s="20">
        <v>3700443.51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11449</v>
      </c>
      <c r="E368" s="16" t="s">
        <v>11450</v>
      </c>
      <c r="F368" s="18">
        <v>2690.57</v>
      </c>
      <c r="G368" s="18">
        <v>120.16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2810.73</v>
      </c>
      <c r="N368" s="20"/>
      <c r="O368" s="19"/>
    </row>
    <row r="369" spans="1:15" s="16" customFormat="1" hidden="1" x14ac:dyDescent="0.25">
      <c r="A369" s="16" t="s">
        <v>51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11451</v>
      </c>
      <c r="E369" s="16" t="s">
        <v>11452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11453</v>
      </c>
      <c r="E370" s="16" t="s">
        <v>11454</v>
      </c>
      <c r="F370" s="18">
        <v>8373307.4000000004</v>
      </c>
      <c r="G370" s="18">
        <v>145681.49</v>
      </c>
      <c r="H370" s="18">
        <v>316222.12</v>
      </c>
      <c r="I370" s="18">
        <v>0</v>
      </c>
      <c r="J370" s="18">
        <v>284997.44</v>
      </c>
      <c r="K370" s="18">
        <v>0</v>
      </c>
      <c r="L370" s="18">
        <v>6982.13</v>
      </c>
      <c r="M370" s="20">
        <v>7910787.1999999993</v>
      </c>
      <c r="N370" s="20"/>
      <c r="O370" s="19"/>
    </row>
    <row r="371" spans="1:15" s="16" customFormat="1" hidden="1" x14ac:dyDescent="0.25">
      <c r="A371" s="16" t="s">
        <v>51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11455</v>
      </c>
      <c r="E371" s="16" t="s">
        <v>11456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11457</v>
      </c>
      <c r="E372" s="16" t="s">
        <v>11458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11459</v>
      </c>
      <c r="E373" s="16" t="s">
        <v>11460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11461</v>
      </c>
      <c r="E374" s="16" t="s">
        <v>11462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11463</v>
      </c>
      <c r="E375" s="16" t="s">
        <v>11464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11465</v>
      </c>
      <c r="E376" s="16" t="s">
        <v>11466</v>
      </c>
      <c r="F376" s="18">
        <v>1197289.29</v>
      </c>
      <c r="G376" s="18">
        <v>4017.3900000000003</v>
      </c>
      <c r="H376" s="18">
        <v>47334.82</v>
      </c>
      <c r="I376" s="18">
        <v>1458949</v>
      </c>
      <c r="J376" s="18">
        <v>18281.37</v>
      </c>
      <c r="K376" s="18">
        <v>0</v>
      </c>
      <c r="L376" s="18">
        <v>562.27</v>
      </c>
      <c r="M376" s="20">
        <v>2594077.2200000002</v>
      </c>
      <c r="N376" s="20"/>
      <c r="O376" s="19"/>
    </row>
    <row r="377" spans="1:15" s="16" customFormat="1" hidden="1" x14ac:dyDescent="0.25">
      <c r="A377" s="16" t="s">
        <v>51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11467</v>
      </c>
      <c r="E377" s="16" t="s">
        <v>11468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11469</v>
      </c>
      <c r="E378" s="16" t="s">
        <v>11470</v>
      </c>
      <c r="F378" s="18">
        <v>478823135.01999998</v>
      </c>
      <c r="G378" s="18">
        <v>63421239.409999996</v>
      </c>
      <c r="H378" s="18">
        <v>5434458.5999999996</v>
      </c>
      <c r="I378" s="18">
        <v>0</v>
      </c>
      <c r="J378" s="18">
        <v>0</v>
      </c>
      <c r="K378" s="18">
        <v>0</v>
      </c>
      <c r="L378" s="18">
        <v>0</v>
      </c>
      <c r="M378" s="20">
        <v>536809915.82999998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11471</v>
      </c>
      <c r="E379" s="16" t="s">
        <v>11472</v>
      </c>
      <c r="F379" s="18">
        <v>224492.64</v>
      </c>
      <c r="G379" s="18">
        <v>0</v>
      </c>
      <c r="H379" s="18">
        <v>3030.2999999999997</v>
      </c>
      <c r="I379" s="18">
        <v>0</v>
      </c>
      <c r="J379" s="18">
        <v>0</v>
      </c>
      <c r="K379" s="18">
        <v>0</v>
      </c>
      <c r="L379" s="18">
        <v>70</v>
      </c>
      <c r="M379" s="20">
        <v>221392.34000000003</v>
      </c>
      <c r="N379" s="20"/>
      <c r="O379" s="19"/>
    </row>
    <row r="380" spans="1:15" s="16" customFormat="1" hidden="1" x14ac:dyDescent="0.25">
      <c r="A380" s="16" t="s">
        <v>51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11473</v>
      </c>
      <c r="E380" s="16" t="s">
        <v>11474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11475</v>
      </c>
      <c r="E381" s="16" t="s">
        <v>11476</v>
      </c>
      <c r="F381" s="18">
        <v>70291.28</v>
      </c>
      <c r="G381" s="18">
        <v>61.01</v>
      </c>
      <c r="H381" s="18">
        <v>5000</v>
      </c>
      <c r="I381" s="18">
        <v>0</v>
      </c>
      <c r="J381" s="18">
        <v>0</v>
      </c>
      <c r="K381" s="18">
        <v>0</v>
      </c>
      <c r="L381" s="18">
        <v>0</v>
      </c>
      <c r="M381" s="20">
        <v>65352.29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11477</v>
      </c>
      <c r="E382" s="16" t="s">
        <v>11478</v>
      </c>
      <c r="F382" s="18">
        <v>17535778.080000002</v>
      </c>
      <c r="G382" s="18">
        <v>585274.93999999994</v>
      </c>
      <c r="H382" s="18">
        <v>258075.6</v>
      </c>
      <c r="I382" s="18">
        <v>0</v>
      </c>
      <c r="J382" s="18">
        <v>105447.54000000001</v>
      </c>
      <c r="K382" s="18">
        <v>0</v>
      </c>
      <c r="L382" s="18">
        <v>20668.61</v>
      </c>
      <c r="M382" s="20">
        <v>17736861.27</v>
      </c>
      <c r="N382" s="20"/>
      <c r="O382" s="19"/>
    </row>
    <row r="383" spans="1:15" s="16" customFormat="1" hidden="1" x14ac:dyDescent="0.25">
      <c r="A383" s="16" t="s">
        <v>51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11479</v>
      </c>
      <c r="E383" s="16" t="s">
        <v>11480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11481</v>
      </c>
      <c r="E384" s="16" t="s">
        <v>11482</v>
      </c>
      <c r="F384" s="18">
        <v>3007539</v>
      </c>
      <c r="G384" s="18">
        <v>4707586.0600000005</v>
      </c>
      <c r="H384" s="18">
        <v>980547.72</v>
      </c>
      <c r="I384" s="18">
        <v>8455.9499999999989</v>
      </c>
      <c r="J384" s="18">
        <v>466320.91000000003</v>
      </c>
      <c r="K384" s="18">
        <v>0</v>
      </c>
      <c r="L384" s="18">
        <v>3717.07</v>
      </c>
      <c r="M384" s="20">
        <v>6272995.3099999996</v>
      </c>
      <c r="N384" s="20"/>
      <c r="O384" s="19"/>
    </row>
    <row r="385" spans="1:15" s="16" customFormat="1" hidden="1" x14ac:dyDescent="0.25">
      <c r="A385" s="16" t="s">
        <v>51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11483</v>
      </c>
      <c r="E385" s="16" t="s">
        <v>11484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11485</v>
      </c>
      <c r="E386" s="16" t="s">
        <v>11486</v>
      </c>
      <c r="F386" s="18">
        <v>89810526.189999998</v>
      </c>
      <c r="G386" s="18">
        <v>18724425.23</v>
      </c>
      <c r="H386" s="18">
        <v>13793480.239999998</v>
      </c>
      <c r="I386" s="18">
        <v>0</v>
      </c>
      <c r="J386" s="18">
        <v>1648371.2</v>
      </c>
      <c r="K386" s="18">
        <v>27070.48</v>
      </c>
      <c r="L386" s="18">
        <v>17127.71</v>
      </c>
      <c r="M386" s="20">
        <v>93103042.75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12263</v>
      </c>
      <c r="E387" s="16" t="s">
        <v>11487</v>
      </c>
      <c r="F387" s="18">
        <v>173177765.72999999</v>
      </c>
      <c r="G387" s="18">
        <v>45767167.57</v>
      </c>
      <c r="H387" s="18">
        <v>82261289.409999996</v>
      </c>
      <c r="I387" s="18">
        <v>0</v>
      </c>
      <c r="J387" s="18">
        <v>4917600.2699999996</v>
      </c>
      <c r="K387" s="18">
        <v>14176.759999999998</v>
      </c>
      <c r="L387" s="18">
        <v>405495.16</v>
      </c>
      <c r="M387" s="20">
        <v>131374725.22000001</v>
      </c>
      <c r="N387" s="20"/>
      <c r="O387" s="19"/>
    </row>
    <row r="388" spans="1:15" s="16" customFormat="1" hidden="1" x14ac:dyDescent="0.25">
      <c r="A388" s="16" t="s">
        <v>51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11488</v>
      </c>
      <c r="E388" s="16" t="s">
        <v>11489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11490</v>
      </c>
      <c r="E389" s="16" t="s">
        <v>11491</v>
      </c>
      <c r="F389" s="18">
        <v>13821031.729999999</v>
      </c>
      <c r="G389" s="18">
        <v>4301374.0599999996</v>
      </c>
      <c r="H389" s="18">
        <v>2195168.61</v>
      </c>
      <c r="I389" s="18">
        <v>0</v>
      </c>
      <c r="J389" s="18">
        <v>1301542.5999999999</v>
      </c>
      <c r="K389" s="18">
        <v>0</v>
      </c>
      <c r="L389" s="18">
        <v>12856.23</v>
      </c>
      <c r="M389" s="20">
        <v>14612838.349999998</v>
      </c>
      <c r="N389" s="20"/>
      <c r="O389" s="19"/>
    </row>
    <row r="390" spans="1:15" s="16" customFormat="1" x14ac:dyDescent="0.25">
      <c r="A390" s="16" t="s">
        <v>51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11492</v>
      </c>
      <c r="E390" s="16" t="s">
        <v>11493</v>
      </c>
      <c r="F390" s="18">
        <v>11676406.35</v>
      </c>
      <c r="G390" s="18">
        <v>4288852.9399999995</v>
      </c>
      <c r="H390" s="18">
        <v>2309670.7599999998</v>
      </c>
      <c r="I390" s="18">
        <v>0</v>
      </c>
      <c r="J390" s="18">
        <v>92986.1</v>
      </c>
      <c r="K390" s="18">
        <v>0</v>
      </c>
      <c r="L390" s="18">
        <v>22147.58</v>
      </c>
      <c r="M390" s="20">
        <v>13540454.85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11494</v>
      </c>
      <c r="E391" s="16" t="s">
        <v>11495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11496</v>
      </c>
      <c r="E392" s="16" t="s">
        <v>11497</v>
      </c>
      <c r="F392" s="18">
        <v>3092421.18</v>
      </c>
      <c r="G392" s="18">
        <v>3696658.4</v>
      </c>
      <c r="H392" s="18">
        <v>5258206.91</v>
      </c>
      <c r="I392" s="18">
        <v>1093599.03</v>
      </c>
      <c r="J392" s="18">
        <v>0</v>
      </c>
      <c r="K392" s="18">
        <v>0</v>
      </c>
      <c r="L392" s="18">
        <v>0</v>
      </c>
      <c r="M392" s="20">
        <v>2624471.7000000002</v>
      </c>
      <c r="N392" s="20"/>
      <c r="O392" s="19"/>
    </row>
    <row r="393" spans="1:15" s="16" customFormat="1" hidden="1" x14ac:dyDescent="0.25">
      <c r="A393" s="16" t="s">
        <v>51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11498</v>
      </c>
      <c r="E393" s="16" t="s">
        <v>11499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11500</v>
      </c>
      <c r="E394" s="16" t="s">
        <v>11501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11502</v>
      </c>
      <c r="E395" s="16" t="s">
        <v>11503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11504</v>
      </c>
      <c r="E396" s="16" t="s">
        <v>11505</v>
      </c>
      <c r="F396" s="18">
        <v>673894.48</v>
      </c>
      <c r="G396" s="18">
        <v>62676.640000000007</v>
      </c>
      <c r="H396" s="18">
        <v>0</v>
      </c>
      <c r="I396" s="18">
        <v>0</v>
      </c>
      <c r="J396" s="18">
        <v>1841</v>
      </c>
      <c r="K396" s="18">
        <v>0</v>
      </c>
      <c r="L396" s="18">
        <v>0</v>
      </c>
      <c r="M396" s="20">
        <v>734730.12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11506</v>
      </c>
      <c r="E397" s="16" t="s">
        <v>11507</v>
      </c>
      <c r="F397" s="18">
        <v>1673633.55</v>
      </c>
      <c r="G397" s="18">
        <v>184095.62</v>
      </c>
      <c r="H397" s="18">
        <v>17620.05</v>
      </c>
      <c r="I397" s="18">
        <v>0</v>
      </c>
      <c r="J397" s="18">
        <v>8724.76</v>
      </c>
      <c r="K397" s="18">
        <v>183213.62</v>
      </c>
      <c r="L397" s="18">
        <v>749.18999999999994</v>
      </c>
      <c r="M397" s="20">
        <v>2013848.79</v>
      </c>
      <c r="N397" s="20"/>
      <c r="O397" s="19"/>
    </row>
    <row r="398" spans="1:15" s="16" customFormat="1" x14ac:dyDescent="0.25">
      <c r="A398" s="16" t="s">
        <v>51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12264</v>
      </c>
      <c r="E398" s="16" t="s">
        <v>11508</v>
      </c>
      <c r="F398" s="18">
        <v>17592453.809999999</v>
      </c>
      <c r="G398" s="18">
        <v>302679.22000000003</v>
      </c>
      <c r="H398" s="18">
        <v>2878646.8</v>
      </c>
      <c r="I398" s="18">
        <v>0</v>
      </c>
      <c r="J398" s="18">
        <v>0</v>
      </c>
      <c r="K398" s="18">
        <v>0</v>
      </c>
      <c r="L398" s="18">
        <v>0</v>
      </c>
      <c r="M398" s="20">
        <v>15016486.229999999</v>
      </c>
      <c r="N398" s="20"/>
      <c r="O398" s="19"/>
    </row>
    <row r="399" spans="1:15" s="16" customFormat="1" x14ac:dyDescent="0.25">
      <c r="A399" s="16" t="s">
        <v>51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11509</v>
      </c>
      <c r="E399" s="16" t="s">
        <v>11510</v>
      </c>
      <c r="F399" s="18">
        <v>9631145.8399999999</v>
      </c>
      <c r="G399" s="18">
        <v>338.94</v>
      </c>
      <c r="H399" s="18">
        <v>0</v>
      </c>
      <c r="I399" s="18">
        <v>0</v>
      </c>
      <c r="J399" s="18">
        <v>1656277.9600000002</v>
      </c>
      <c r="K399" s="18">
        <v>0</v>
      </c>
      <c r="L399" s="18">
        <v>0</v>
      </c>
      <c r="M399" s="20">
        <v>7975206.8200000003</v>
      </c>
      <c r="N399" s="20"/>
      <c r="O399" s="19"/>
    </row>
    <row r="400" spans="1:15" s="16" customFormat="1" x14ac:dyDescent="0.25">
      <c r="A400" s="16" t="s">
        <v>51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11511</v>
      </c>
      <c r="E400" s="16" t="s">
        <v>11512</v>
      </c>
      <c r="F400" s="18">
        <v>27030.799999999999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27030.799999999999</v>
      </c>
      <c r="N400" s="20"/>
      <c r="O400" s="19"/>
    </row>
    <row r="401" spans="1:15" s="16" customFormat="1" x14ac:dyDescent="0.25">
      <c r="A401" s="16" t="s">
        <v>51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11513</v>
      </c>
      <c r="E401" s="16" t="s">
        <v>11514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11515</v>
      </c>
      <c r="E402" s="16" t="s">
        <v>11516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11517</v>
      </c>
      <c r="E403" s="16" t="s">
        <v>11518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11519</v>
      </c>
      <c r="E404" s="16" t="s">
        <v>11520</v>
      </c>
      <c r="F404" s="18">
        <v>1738033.52</v>
      </c>
      <c r="G404" s="18">
        <v>167715</v>
      </c>
      <c r="H404" s="18">
        <v>27788.609999999997</v>
      </c>
      <c r="I404" s="18">
        <v>0</v>
      </c>
      <c r="J404" s="18">
        <v>25790.370000000003</v>
      </c>
      <c r="K404" s="18">
        <v>1760</v>
      </c>
      <c r="L404" s="18">
        <v>876.8</v>
      </c>
      <c r="M404" s="20">
        <v>1853052.74</v>
      </c>
      <c r="N404" s="20"/>
      <c r="O404" s="19"/>
    </row>
    <row r="405" spans="1:15" s="16" customFormat="1" hidden="1" x14ac:dyDescent="0.25">
      <c r="A405" s="16" t="s">
        <v>51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11521</v>
      </c>
      <c r="E405" s="16" t="s">
        <v>11522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11523</v>
      </c>
      <c r="E406" s="16" t="s">
        <v>11524</v>
      </c>
      <c r="F406" s="18">
        <v>82803.87</v>
      </c>
      <c r="G406" s="18">
        <v>75</v>
      </c>
      <c r="H406" s="18">
        <v>0</v>
      </c>
      <c r="I406" s="18">
        <v>0</v>
      </c>
      <c r="J406" s="18">
        <v>707.2</v>
      </c>
      <c r="K406" s="18">
        <v>0</v>
      </c>
      <c r="L406" s="18">
        <v>51.36</v>
      </c>
      <c r="M406" s="20">
        <v>82120.31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11525</v>
      </c>
      <c r="E407" s="16" t="s">
        <v>11526</v>
      </c>
      <c r="F407" s="18">
        <v>592324.34</v>
      </c>
      <c r="G407" s="18">
        <v>1650.0000000000002</v>
      </c>
      <c r="H407" s="18">
        <v>1320.71</v>
      </c>
      <c r="I407" s="18">
        <v>0</v>
      </c>
      <c r="J407" s="18">
        <v>13463.300000000001</v>
      </c>
      <c r="K407" s="18">
        <v>0</v>
      </c>
      <c r="L407" s="18">
        <v>54.169999999999995</v>
      </c>
      <c r="M407" s="20">
        <v>579136.15999999992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11527</v>
      </c>
      <c r="E408" s="16" t="s">
        <v>11528</v>
      </c>
      <c r="F408" s="18">
        <v>17305162.5</v>
      </c>
      <c r="G408" s="18">
        <v>13084.4</v>
      </c>
      <c r="H408" s="18">
        <v>177540.13</v>
      </c>
      <c r="I408" s="18">
        <v>0</v>
      </c>
      <c r="J408" s="18">
        <v>106999.18000000001</v>
      </c>
      <c r="K408" s="18">
        <v>0</v>
      </c>
      <c r="L408" s="18">
        <v>3892.6299999999997</v>
      </c>
      <c r="M408" s="20">
        <v>17029814.960000001</v>
      </c>
      <c r="N408" s="20"/>
      <c r="O408" s="19"/>
    </row>
    <row r="409" spans="1:15" s="16" customFormat="1" hidden="1" x14ac:dyDescent="0.25">
      <c r="A409" s="16" t="s">
        <v>51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11529</v>
      </c>
      <c r="E409" s="16" t="s">
        <v>11530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11531</v>
      </c>
      <c r="E410" s="16" t="s">
        <v>11532</v>
      </c>
      <c r="F410" s="18">
        <v>2953923.27</v>
      </c>
      <c r="G410" s="18">
        <v>6428</v>
      </c>
      <c r="H410" s="18">
        <v>4935.4400000000005</v>
      </c>
      <c r="I410" s="18">
        <v>0</v>
      </c>
      <c r="J410" s="18">
        <v>60739</v>
      </c>
      <c r="K410" s="18">
        <v>0</v>
      </c>
      <c r="L410" s="18">
        <v>723.58999999999992</v>
      </c>
      <c r="M410" s="20">
        <v>2893953.2399999998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11533</v>
      </c>
      <c r="E411" s="16" t="s">
        <v>11534</v>
      </c>
      <c r="F411" s="18">
        <v>9180570.790000001</v>
      </c>
      <c r="G411" s="18">
        <v>22988.98</v>
      </c>
      <c r="H411" s="18">
        <v>174199.93</v>
      </c>
      <c r="I411" s="18">
        <v>2655</v>
      </c>
      <c r="J411" s="18">
        <v>112692.51</v>
      </c>
      <c r="K411" s="18">
        <v>0</v>
      </c>
      <c r="L411" s="18">
        <v>2163.15</v>
      </c>
      <c r="M411" s="20">
        <v>8917159.1799999997</v>
      </c>
      <c r="N411" s="20"/>
      <c r="O411" s="19"/>
    </row>
    <row r="412" spans="1:15" s="16" customFormat="1" x14ac:dyDescent="0.25">
      <c r="A412" s="16" t="s">
        <v>51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11535</v>
      </c>
      <c r="E412" s="16" t="s">
        <v>11536</v>
      </c>
      <c r="F412" s="18">
        <v>7587275.3200000003</v>
      </c>
      <c r="G412" s="18">
        <v>47761.35</v>
      </c>
      <c r="H412" s="18">
        <v>122294.27</v>
      </c>
      <c r="I412" s="18">
        <v>0</v>
      </c>
      <c r="J412" s="18">
        <v>124444.89</v>
      </c>
      <c r="K412" s="18">
        <v>0</v>
      </c>
      <c r="L412" s="18">
        <v>1763.49</v>
      </c>
      <c r="M412" s="20">
        <v>7386534.0199999996</v>
      </c>
      <c r="N412" s="20"/>
      <c r="O412" s="19"/>
    </row>
    <row r="413" spans="1:15" s="16" customFormat="1" x14ac:dyDescent="0.25">
      <c r="A413" s="16" t="s">
        <v>51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11537</v>
      </c>
      <c r="E413" s="16" t="s">
        <v>11538</v>
      </c>
      <c r="F413" s="18">
        <v>259490.87</v>
      </c>
      <c r="G413" s="18">
        <v>563.25</v>
      </c>
      <c r="H413" s="18">
        <v>14.25</v>
      </c>
      <c r="I413" s="18">
        <v>0</v>
      </c>
      <c r="J413" s="18">
        <v>9770.3499999999985</v>
      </c>
      <c r="K413" s="18">
        <v>0</v>
      </c>
      <c r="L413" s="18">
        <v>185.81</v>
      </c>
      <c r="M413" s="20">
        <v>250083.71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11539</v>
      </c>
      <c r="E414" s="16" t="s">
        <v>11540</v>
      </c>
      <c r="F414" s="18">
        <v>5047224.7399999993</v>
      </c>
      <c r="G414" s="18">
        <v>73709</v>
      </c>
      <c r="H414" s="18">
        <v>118266.67000000001</v>
      </c>
      <c r="I414" s="18">
        <v>0</v>
      </c>
      <c r="J414" s="18">
        <v>73089.86</v>
      </c>
      <c r="K414" s="18">
        <v>0</v>
      </c>
      <c r="L414" s="18">
        <v>3963.66</v>
      </c>
      <c r="M414" s="20">
        <v>4925613.55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11541</v>
      </c>
      <c r="E415" s="16" t="s">
        <v>11542</v>
      </c>
      <c r="F415" s="18">
        <v>4921640.7200000007</v>
      </c>
      <c r="G415" s="18">
        <v>276418.37</v>
      </c>
      <c r="H415" s="18">
        <v>77388.409999999989</v>
      </c>
      <c r="I415" s="18">
        <v>0</v>
      </c>
      <c r="J415" s="18">
        <v>71786.569999999992</v>
      </c>
      <c r="K415" s="18">
        <v>0</v>
      </c>
      <c r="L415" s="18">
        <v>9244.92</v>
      </c>
      <c r="M415" s="20">
        <v>5039639.1900000004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11543</v>
      </c>
      <c r="E416" s="16" t="s">
        <v>11544</v>
      </c>
      <c r="F416" s="18">
        <v>404533.77</v>
      </c>
      <c r="G416" s="18">
        <v>7065.0000000000009</v>
      </c>
      <c r="H416" s="18">
        <v>1555.2800000000002</v>
      </c>
      <c r="I416" s="18">
        <v>0</v>
      </c>
      <c r="J416" s="18">
        <v>17655.04</v>
      </c>
      <c r="K416" s="18">
        <v>0</v>
      </c>
      <c r="L416" s="18">
        <v>277.64</v>
      </c>
      <c r="M416" s="20">
        <v>392110.81</v>
      </c>
      <c r="N416" s="20"/>
      <c r="O416" s="19"/>
    </row>
    <row r="417" spans="1:15" s="16" customFormat="1" hidden="1" x14ac:dyDescent="0.25">
      <c r="A417" s="16" t="s">
        <v>51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11545</v>
      </c>
      <c r="E417" s="16" t="s">
        <v>11546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11547</v>
      </c>
      <c r="E418" s="16" t="s">
        <v>11548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11549</v>
      </c>
      <c r="E419" s="16" t="s">
        <v>11550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11551</v>
      </c>
      <c r="E420" s="16" t="s">
        <v>11552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11553</v>
      </c>
      <c r="E421" s="16" t="s">
        <v>11554</v>
      </c>
      <c r="F421" s="18">
        <v>3695732.72</v>
      </c>
      <c r="G421" s="18">
        <v>19308771.34</v>
      </c>
      <c r="H421" s="18">
        <v>18451437.93</v>
      </c>
      <c r="I421" s="18">
        <v>39583217.050000004</v>
      </c>
      <c r="J421" s="18">
        <v>30397660.949999999</v>
      </c>
      <c r="K421" s="18">
        <v>2614.6600000000003</v>
      </c>
      <c r="L421" s="18">
        <v>121994.43000000001</v>
      </c>
      <c r="M421" s="20">
        <v>13619242.460000001</v>
      </c>
      <c r="N421" s="20"/>
      <c r="O421" s="19"/>
    </row>
    <row r="422" spans="1:15" s="16" customFormat="1" x14ac:dyDescent="0.25">
      <c r="A422" s="16" t="s">
        <v>51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11555</v>
      </c>
      <c r="E422" s="16" t="s">
        <v>11556</v>
      </c>
      <c r="F422" s="18">
        <v>1019801.97</v>
      </c>
      <c r="G422" s="18">
        <v>99694.959999999992</v>
      </c>
      <c r="H422" s="18">
        <v>51002.700000000004</v>
      </c>
      <c r="I422" s="18">
        <v>0</v>
      </c>
      <c r="J422" s="18">
        <v>17997.22</v>
      </c>
      <c r="K422" s="18">
        <v>0</v>
      </c>
      <c r="L422" s="18">
        <v>82.990000000000009</v>
      </c>
      <c r="M422" s="20">
        <v>1050414.02</v>
      </c>
      <c r="N422" s="20"/>
      <c r="O422" s="19"/>
    </row>
    <row r="423" spans="1:15" s="16" customFormat="1" x14ac:dyDescent="0.25">
      <c r="A423" s="16" t="s">
        <v>51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11557</v>
      </c>
      <c r="E423" s="16" t="s">
        <v>11558</v>
      </c>
      <c r="F423" s="18">
        <v>74941.8</v>
      </c>
      <c r="G423" s="18">
        <v>3636.04</v>
      </c>
      <c r="H423" s="18">
        <v>0</v>
      </c>
      <c r="I423" s="18">
        <v>0</v>
      </c>
      <c r="J423" s="18">
        <v>79</v>
      </c>
      <c r="K423" s="18">
        <v>100</v>
      </c>
      <c r="L423" s="18">
        <v>0</v>
      </c>
      <c r="M423" s="20">
        <v>78598.84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11559</v>
      </c>
      <c r="E424" s="16" t="s">
        <v>11560</v>
      </c>
      <c r="F424" s="18">
        <v>3337565.25</v>
      </c>
      <c r="G424" s="18">
        <v>192969.16</v>
      </c>
      <c r="H424" s="18">
        <v>180884.53</v>
      </c>
      <c r="I424" s="18">
        <v>0</v>
      </c>
      <c r="J424" s="18">
        <v>89005.39</v>
      </c>
      <c r="K424" s="18">
        <v>0</v>
      </c>
      <c r="L424" s="18">
        <v>9090.869999999999</v>
      </c>
      <c r="M424" s="20">
        <v>3251553.6199999996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11561</v>
      </c>
      <c r="E425" s="16" t="s">
        <v>11562</v>
      </c>
      <c r="F425" s="18">
        <v>257457.21</v>
      </c>
      <c r="G425" s="18">
        <v>3750</v>
      </c>
      <c r="H425" s="18">
        <v>37122.11</v>
      </c>
      <c r="I425" s="18">
        <v>0</v>
      </c>
      <c r="J425" s="18">
        <v>18480.48</v>
      </c>
      <c r="K425" s="18">
        <v>0</v>
      </c>
      <c r="L425" s="18">
        <v>207.35</v>
      </c>
      <c r="M425" s="20">
        <v>205397.27000000002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11563</v>
      </c>
      <c r="E426" s="16" t="s">
        <v>11564</v>
      </c>
      <c r="F426" s="18">
        <v>1541606.78</v>
      </c>
      <c r="G426" s="18">
        <v>448870.44999999995</v>
      </c>
      <c r="H426" s="18">
        <v>396156.93000000005</v>
      </c>
      <c r="I426" s="18">
        <v>0</v>
      </c>
      <c r="J426" s="18">
        <v>62810.28</v>
      </c>
      <c r="K426" s="18">
        <v>0</v>
      </c>
      <c r="L426" s="18">
        <v>584.67999999999995</v>
      </c>
      <c r="M426" s="20">
        <v>1530925.34</v>
      </c>
      <c r="N426" s="20"/>
      <c r="O426" s="19"/>
    </row>
    <row r="427" spans="1:15" s="16" customFormat="1" hidden="1" x14ac:dyDescent="0.25">
      <c r="A427" s="16" t="s">
        <v>51</v>
      </c>
      <c r="B427" s="16" t="str">
        <f t="shared" si="6"/>
        <v>hide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11565</v>
      </c>
      <c r="E427" s="16" t="s">
        <v>11566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11567</v>
      </c>
      <c r="E428" s="16" t="s">
        <v>11568</v>
      </c>
      <c r="F428" s="18">
        <v>3333376.47</v>
      </c>
      <c r="G428" s="18">
        <v>118125.98</v>
      </c>
      <c r="H428" s="18">
        <v>73397.59</v>
      </c>
      <c r="I428" s="18">
        <v>0</v>
      </c>
      <c r="J428" s="18">
        <v>34165.57</v>
      </c>
      <c r="K428" s="18">
        <v>0</v>
      </c>
      <c r="L428" s="18">
        <v>451.46</v>
      </c>
      <c r="M428" s="20">
        <v>3343487.83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11569</v>
      </c>
      <c r="E429" s="16" t="s">
        <v>11570</v>
      </c>
      <c r="F429" s="18">
        <v>22301016.84</v>
      </c>
      <c r="G429" s="18">
        <v>50082.579999999994</v>
      </c>
      <c r="H429" s="18">
        <v>807881.64</v>
      </c>
      <c r="I429" s="18">
        <v>0</v>
      </c>
      <c r="J429" s="18">
        <v>995722.12</v>
      </c>
      <c r="K429" s="18">
        <v>2366.25</v>
      </c>
      <c r="L429" s="18">
        <v>10333.029999999999</v>
      </c>
      <c r="M429" s="20">
        <v>20539528.880000003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11571</v>
      </c>
      <c r="E430" s="16" t="s">
        <v>11572</v>
      </c>
      <c r="F430" s="18">
        <v>28326917.41</v>
      </c>
      <c r="G430" s="18">
        <v>16111200.679999998</v>
      </c>
      <c r="H430" s="18">
        <v>6276816.2199999997</v>
      </c>
      <c r="I430" s="18">
        <v>0</v>
      </c>
      <c r="J430" s="18">
        <v>329750.52</v>
      </c>
      <c r="K430" s="18">
        <v>0</v>
      </c>
      <c r="L430" s="18">
        <v>3332.9500000000003</v>
      </c>
      <c r="M430" s="20">
        <v>37828218.399999999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11573</v>
      </c>
      <c r="E431" s="16" t="s">
        <v>11574</v>
      </c>
      <c r="F431" s="18">
        <v>1961.6200000000001</v>
      </c>
      <c r="G431" s="18">
        <v>55000</v>
      </c>
      <c r="H431" s="18">
        <v>38182.089999999997</v>
      </c>
      <c r="I431" s="18">
        <v>0</v>
      </c>
      <c r="J431" s="18">
        <v>11774.01</v>
      </c>
      <c r="K431" s="18">
        <v>0</v>
      </c>
      <c r="L431" s="18">
        <v>112.30000000000001</v>
      </c>
      <c r="M431" s="20">
        <v>6893.22</v>
      </c>
      <c r="N431" s="20"/>
      <c r="O431" s="19"/>
    </row>
    <row r="432" spans="1:15" s="16" customFormat="1" hidden="1" x14ac:dyDescent="0.25">
      <c r="A432" s="16" t="s">
        <v>51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11575</v>
      </c>
      <c r="E432" s="16" t="s">
        <v>11576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11577</v>
      </c>
      <c r="E433" s="16" t="s">
        <v>11578</v>
      </c>
      <c r="F433" s="18">
        <v>83784.75</v>
      </c>
      <c r="G433" s="18">
        <v>19651.900000000001</v>
      </c>
      <c r="H433" s="18">
        <v>3786.6000000000004</v>
      </c>
      <c r="I433" s="18">
        <v>0</v>
      </c>
      <c r="J433" s="18">
        <v>2369.91</v>
      </c>
      <c r="K433" s="18">
        <v>0</v>
      </c>
      <c r="L433" s="18">
        <v>4558.25</v>
      </c>
      <c r="M433" s="20">
        <v>92721.89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11579</v>
      </c>
      <c r="E434" s="16" t="s">
        <v>11580</v>
      </c>
      <c r="F434" s="18">
        <v>1708596.3900000001</v>
      </c>
      <c r="G434" s="18">
        <v>3442.67</v>
      </c>
      <c r="H434" s="18">
        <v>2777148.1599999997</v>
      </c>
      <c r="I434" s="18">
        <v>5000000</v>
      </c>
      <c r="J434" s="18">
        <v>351173.12</v>
      </c>
      <c r="K434" s="18">
        <v>0</v>
      </c>
      <c r="L434" s="18">
        <v>3626.39</v>
      </c>
      <c r="M434" s="20">
        <v>3580091.39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11581</v>
      </c>
      <c r="E435" s="16" t="s">
        <v>11582</v>
      </c>
      <c r="F435" s="18">
        <v>1519307.94</v>
      </c>
      <c r="G435" s="18">
        <v>26693.239999999998</v>
      </c>
      <c r="H435" s="18">
        <v>4261.47</v>
      </c>
      <c r="I435" s="18">
        <v>0</v>
      </c>
      <c r="J435" s="18">
        <v>0</v>
      </c>
      <c r="K435" s="18">
        <v>0</v>
      </c>
      <c r="L435" s="18">
        <v>0</v>
      </c>
      <c r="M435" s="20">
        <v>1541739.71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11583</v>
      </c>
      <c r="E436" s="16" t="s">
        <v>11584</v>
      </c>
      <c r="F436" s="18">
        <v>604048.80999999994</v>
      </c>
      <c r="G436" s="18">
        <v>312236.76</v>
      </c>
      <c r="H436" s="18">
        <v>53461.72</v>
      </c>
      <c r="I436" s="18">
        <v>0</v>
      </c>
      <c r="J436" s="18">
        <v>5417</v>
      </c>
      <c r="K436" s="18">
        <v>0</v>
      </c>
      <c r="L436" s="18">
        <v>0</v>
      </c>
      <c r="M436" s="20">
        <v>857406.85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11585</v>
      </c>
      <c r="E437" s="16" t="s">
        <v>11586</v>
      </c>
      <c r="F437" s="18">
        <v>534066.9</v>
      </c>
      <c r="G437" s="18">
        <v>37470</v>
      </c>
      <c r="H437" s="18">
        <v>25049.88</v>
      </c>
      <c r="I437" s="18">
        <v>0</v>
      </c>
      <c r="J437" s="18">
        <v>23445.989999999998</v>
      </c>
      <c r="K437" s="18">
        <v>0</v>
      </c>
      <c r="L437" s="18">
        <v>771.1</v>
      </c>
      <c r="M437" s="20">
        <v>522269.93</v>
      </c>
      <c r="N437" s="20"/>
      <c r="O437" s="19"/>
    </row>
    <row r="438" spans="1:15" s="16" customFormat="1" hidden="1" x14ac:dyDescent="0.25">
      <c r="A438" s="16" t="s">
        <v>51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11587</v>
      </c>
      <c r="E438" s="16" t="s">
        <v>11588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11589</v>
      </c>
      <c r="E439" s="16" t="s">
        <v>11590</v>
      </c>
      <c r="F439" s="18">
        <v>1858993.21</v>
      </c>
      <c r="G439" s="18">
        <v>283686.44</v>
      </c>
      <c r="H439" s="18">
        <v>162766.09</v>
      </c>
      <c r="I439" s="18">
        <v>0</v>
      </c>
      <c r="J439" s="18">
        <v>91097.12</v>
      </c>
      <c r="K439" s="18">
        <v>0</v>
      </c>
      <c r="L439" s="18">
        <v>4881.7300000000005</v>
      </c>
      <c r="M439" s="20">
        <v>1883934.7100000002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11591</v>
      </c>
      <c r="E440" s="16" t="s">
        <v>11592</v>
      </c>
      <c r="F440" s="18">
        <v>86749.62999999999</v>
      </c>
      <c r="G440" s="18">
        <v>8055621.8899999997</v>
      </c>
      <c r="H440" s="18">
        <v>7992072.0199999996</v>
      </c>
      <c r="I440" s="18">
        <v>0</v>
      </c>
      <c r="J440" s="18">
        <v>18150.759999999998</v>
      </c>
      <c r="K440" s="18">
        <v>0</v>
      </c>
      <c r="L440" s="18">
        <v>58302.559999999998</v>
      </c>
      <c r="M440" s="20">
        <v>73846.180000000008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11593</v>
      </c>
      <c r="E441" s="16" t="s">
        <v>11594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11595</v>
      </c>
      <c r="E442" s="16" t="s">
        <v>11596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11597</v>
      </c>
      <c r="E443" s="16" t="s">
        <v>11598</v>
      </c>
      <c r="F443" s="18">
        <v>1349919.8599999999</v>
      </c>
      <c r="G443" s="18">
        <v>0</v>
      </c>
      <c r="H443" s="18">
        <v>34847.22</v>
      </c>
      <c r="I443" s="18">
        <v>0</v>
      </c>
      <c r="J443" s="18">
        <v>17378.759999999998</v>
      </c>
      <c r="K443" s="18">
        <v>0</v>
      </c>
      <c r="L443" s="18">
        <v>688.3</v>
      </c>
      <c r="M443" s="20">
        <v>1297005.5799999998</v>
      </c>
      <c r="N443" s="20"/>
      <c r="O443" s="19"/>
    </row>
    <row r="444" spans="1:15" s="16" customFormat="1" x14ac:dyDescent="0.25">
      <c r="A444" s="16" t="s">
        <v>51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11599</v>
      </c>
      <c r="E444" s="16" t="s">
        <v>11600</v>
      </c>
      <c r="F444" s="18">
        <v>19973141</v>
      </c>
      <c r="G444" s="18">
        <v>586611.07000000007</v>
      </c>
      <c r="H444" s="18">
        <v>98516.59</v>
      </c>
      <c r="I444" s="18">
        <v>0</v>
      </c>
      <c r="J444" s="18">
        <v>42933.43</v>
      </c>
      <c r="K444" s="18">
        <v>0</v>
      </c>
      <c r="L444" s="18">
        <v>1084.8</v>
      </c>
      <c r="M444" s="20">
        <v>20417217.25</v>
      </c>
      <c r="N444" s="20"/>
      <c r="O444" s="19"/>
    </row>
    <row r="445" spans="1:15" s="16" customFormat="1" x14ac:dyDescent="0.25">
      <c r="A445" s="16" t="s">
        <v>51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11601</v>
      </c>
      <c r="E445" s="16" t="s">
        <v>11602</v>
      </c>
      <c r="F445" s="18">
        <v>992924.31</v>
      </c>
      <c r="G445" s="18">
        <v>94485.349999999991</v>
      </c>
      <c r="H445" s="18">
        <v>42800.68</v>
      </c>
      <c r="I445" s="18">
        <v>0</v>
      </c>
      <c r="J445" s="18">
        <v>26525.17</v>
      </c>
      <c r="K445" s="18">
        <v>0</v>
      </c>
      <c r="L445" s="18">
        <v>91.8</v>
      </c>
      <c r="M445" s="20">
        <v>1017992.01</v>
      </c>
      <c r="N445" s="20"/>
      <c r="O445" s="19"/>
    </row>
    <row r="446" spans="1:15" s="16" customFormat="1" hidden="1" x14ac:dyDescent="0.25">
      <c r="A446" s="16" t="s">
        <v>51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11603</v>
      </c>
      <c r="E446" s="16" t="s">
        <v>11604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11605</v>
      </c>
      <c r="E447" s="16" t="s">
        <v>11606</v>
      </c>
      <c r="F447" s="18">
        <v>409789.16</v>
      </c>
      <c r="G447" s="18">
        <v>33408.22</v>
      </c>
      <c r="H447" s="18">
        <v>21706.39</v>
      </c>
      <c r="I447" s="18">
        <v>614841.64</v>
      </c>
      <c r="J447" s="18">
        <v>7294.12</v>
      </c>
      <c r="K447" s="18">
        <v>0</v>
      </c>
      <c r="L447" s="18">
        <v>0</v>
      </c>
      <c r="M447" s="20">
        <v>1029038.51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11607</v>
      </c>
      <c r="E448" s="16" t="s">
        <v>11608</v>
      </c>
      <c r="F448" s="18">
        <v>5922341.5200000005</v>
      </c>
      <c r="G448" s="18">
        <v>968423.43</v>
      </c>
      <c r="H448" s="18">
        <v>763415.79999999993</v>
      </c>
      <c r="I448" s="18">
        <v>0</v>
      </c>
      <c r="J448" s="18">
        <v>26913.16</v>
      </c>
      <c r="K448" s="18">
        <v>15051.249999999998</v>
      </c>
      <c r="L448" s="18">
        <v>4840.6400000000003</v>
      </c>
      <c r="M448" s="20">
        <v>6110646.6000000006</v>
      </c>
      <c r="N448" s="20"/>
      <c r="O448" s="19"/>
    </row>
    <row r="449" spans="1:15" s="16" customFormat="1" x14ac:dyDescent="0.25">
      <c r="A449" s="16" t="s">
        <v>51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11609</v>
      </c>
      <c r="E449" s="16" t="s">
        <v>11610</v>
      </c>
      <c r="F449" s="18">
        <v>609615.64</v>
      </c>
      <c r="G449" s="18">
        <v>10900</v>
      </c>
      <c r="H449" s="18">
        <v>0</v>
      </c>
      <c r="I449" s="18">
        <v>0</v>
      </c>
      <c r="J449" s="18">
        <v>22623.43</v>
      </c>
      <c r="K449" s="18">
        <v>0</v>
      </c>
      <c r="L449" s="18">
        <v>0</v>
      </c>
      <c r="M449" s="20">
        <v>597892.21</v>
      </c>
      <c r="N449" s="20"/>
      <c r="O449" s="19"/>
    </row>
    <row r="450" spans="1:15" s="16" customFormat="1" x14ac:dyDescent="0.25">
      <c r="A450" s="16" t="s">
        <v>51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11611</v>
      </c>
      <c r="E450" s="16" t="s">
        <v>11612</v>
      </c>
      <c r="F450" s="18">
        <v>27066421.879999999</v>
      </c>
      <c r="G450" s="18">
        <v>62872537.020000003</v>
      </c>
      <c r="H450" s="18">
        <v>13508094.729999999</v>
      </c>
      <c r="I450" s="18">
        <v>0</v>
      </c>
      <c r="J450" s="18">
        <v>39556490.620000005</v>
      </c>
      <c r="K450" s="18">
        <v>0</v>
      </c>
      <c r="L450" s="18">
        <v>0</v>
      </c>
      <c r="M450" s="20">
        <v>36874373.550000004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11613</v>
      </c>
      <c r="E451" s="16" t="s">
        <v>11614</v>
      </c>
      <c r="F451" s="18">
        <v>166066.01999999999</v>
      </c>
      <c r="G451" s="18">
        <v>5906</v>
      </c>
      <c r="H451" s="18">
        <v>19549.150000000001</v>
      </c>
      <c r="I451" s="18">
        <v>0</v>
      </c>
      <c r="J451" s="18">
        <v>1067.8599999999999</v>
      </c>
      <c r="K451" s="18">
        <v>24169.600000000002</v>
      </c>
      <c r="L451" s="18">
        <v>21.1</v>
      </c>
      <c r="M451" s="20">
        <v>175503.51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11615</v>
      </c>
      <c r="E452" s="16" t="s">
        <v>11616</v>
      </c>
      <c r="F452" s="18">
        <v>4732207.25</v>
      </c>
      <c r="G452" s="18">
        <v>604297.55999999994</v>
      </c>
      <c r="H452" s="18">
        <v>19170.18</v>
      </c>
      <c r="I452" s="18">
        <v>0</v>
      </c>
      <c r="J452" s="18">
        <v>710.56</v>
      </c>
      <c r="K452" s="18">
        <v>0</v>
      </c>
      <c r="L452" s="18">
        <v>0</v>
      </c>
      <c r="M452" s="20">
        <v>5316624.07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11617</v>
      </c>
      <c r="E453" s="16" t="s">
        <v>11618</v>
      </c>
      <c r="F453" s="18">
        <v>10424613.050000001</v>
      </c>
      <c r="G453" s="18">
        <v>262182.82</v>
      </c>
      <c r="H453" s="18">
        <v>380206.55000000005</v>
      </c>
      <c r="I453" s="18">
        <v>226271.28</v>
      </c>
      <c r="J453" s="18">
        <v>190840.88</v>
      </c>
      <c r="K453" s="18">
        <v>0</v>
      </c>
      <c r="L453" s="18">
        <v>3650.8599999999997</v>
      </c>
      <c r="M453" s="20">
        <v>10338368.859999999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11619</v>
      </c>
      <c r="E454" s="16" t="s">
        <v>11620</v>
      </c>
      <c r="F454" s="18">
        <v>2073524.17</v>
      </c>
      <c r="G454" s="18">
        <v>18920</v>
      </c>
      <c r="H454" s="18">
        <v>26775.190000000002</v>
      </c>
      <c r="I454" s="18">
        <v>0</v>
      </c>
      <c r="J454" s="18">
        <v>15926.94</v>
      </c>
      <c r="K454" s="18">
        <v>0</v>
      </c>
      <c r="L454" s="18">
        <v>514.54999999999995</v>
      </c>
      <c r="M454" s="20">
        <v>2049227.49</v>
      </c>
      <c r="N454" s="20"/>
      <c r="O454" s="19"/>
    </row>
    <row r="455" spans="1:15" s="16" customFormat="1" x14ac:dyDescent="0.25">
      <c r="A455" s="16" t="s">
        <v>51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11621</v>
      </c>
      <c r="E455" s="16" t="s">
        <v>11622</v>
      </c>
      <c r="F455" s="18">
        <v>2929580.14</v>
      </c>
      <c r="G455" s="18">
        <v>20365</v>
      </c>
      <c r="H455" s="18">
        <v>39010.589999999997</v>
      </c>
      <c r="I455" s="18">
        <v>0</v>
      </c>
      <c r="J455" s="18">
        <v>24537.850000000002</v>
      </c>
      <c r="K455" s="18">
        <v>0</v>
      </c>
      <c r="L455" s="18">
        <v>1711.3799999999999</v>
      </c>
      <c r="M455" s="20">
        <v>2884685.32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11623</v>
      </c>
      <c r="E456" s="16" t="s">
        <v>11624</v>
      </c>
      <c r="F456" s="18">
        <v>4653471.45</v>
      </c>
      <c r="G456" s="18">
        <v>683382.05</v>
      </c>
      <c r="H456" s="18">
        <v>163929.97</v>
      </c>
      <c r="I456" s="18">
        <v>0</v>
      </c>
      <c r="J456" s="18">
        <v>160698.44999999998</v>
      </c>
      <c r="K456" s="18">
        <v>0</v>
      </c>
      <c r="L456" s="18">
        <v>1166.6799999999998</v>
      </c>
      <c r="M456" s="20">
        <v>5011058.4000000004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11625</v>
      </c>
      <c r="E457" s="16" t="s">
        <v>11626</v>
      </c>
      <c r="F457" s="18">
        <v>646285.57000000007</v>
      </c>
      <c r="G457" s="18">
        <v>105523.01</v>
      </c>
      <c r="H457" s="18">
        <v>70687.06</v>
      </c>
      <c r="I457" s="18">
        <v>0</v>
      </c>
      <c r="J457" s="18">
        <v>12176.260000000002</v>
      </c>
      <c r="K457" s="18">
        <v>0</v>
      </c>
      <c r="L457" s="18">
        <v>0</v>
      </c>
      <c r="M457" s="20">
        <v>668945.26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11627</v>
      </c>
      <c r="E458" s="16" t="s">
        <v>11628</v>
      </c>
      <c r="F458" s="18">
        <v>1563649.77</v>
      </c>
      <c r="G458" s="18">
        <v>222966.40999999997</v>
      </c>
      <c r="H458" s="18">
        <v>1157377.3</v>
      </c>
      <c r="I458" s="18">
        <v>0</v>
      </c>
      <c r="J458" s="18">
        <v>39636.800000000003</v>
      </c>
      <c r="K458" s="18">
        <v>0</v>
      </c>
      <c r="L458" s="18">
        <v>1890.2199999999998</v>
      </c>
      <c r="M458" s="20">
        <v>587711.86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11629</v>
      </c>
      <c r="E459" s="16" t="s">
        <v>11630</v>
      </c>
      <c r="F459" s="18">
        <v>43343649.859999999</v>
      </c>
      <c r="G459" s="18">
        <v>54456240.670000002</v>
      </c>
      <c r="H459" s="18">
        <v>14038172.899999999</v>
      </c>
      <c r="I459" s="18">
        <v>0</v>
      </c>
      <c r="J459" s="18">
        <v>44205511</v>
      </c>
      <c r="K459" s="18">
        <v>0</v>
      </c>
      <c r="L459" s="18">
        <v>0</v>
      </c>
      <c r="M459" s="20">
        <v>39556206.629999995</v>
      </c>
      <c r="N459" s="20"/>
      <c r="O459" s="19"/>
    </row>
    <row r="460" spans="1:15" s="16" customFormat="1" hidden="1" x14ac:dyDescent="0.25">
      <c r="A460" s="16" t="s">
        <v>51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11631</v>
      </c>
      <c r="E460" s="16" t="s">
        <v>11632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11633</v>
      </c>
      <c r="E461" s="16" t="s">
        <v>11634</v>
      </c>
      <c r="F461" s="18">
        <v>181578.52</v>
      </c>
      <c r="G461" s="18">
        <v>0</v>
      </c>
      <c r="H461" s="18">
        <v>0</v>
      </c>
      <c r="I461" s="18">
        <v>0</v>
      </c>
      <c r="J461" s="18">
        <v>120.99999999999999</v>
      </c>
      <c r="K461" s="18">
        <v>0</v>
      </c>
      <c r="L461" s="18">
        <v>0</v>
      </c>
      <c r="M461" s="20">
        <v>181457.52</v>
      </c>
      <c r="N461" s="20"/>
      <c r="O461" s="19"/>
    </row>
    <row r="462" spans="1:15" s="16" customFormat="1" hidden="1" x14ac:dyDescent="0.25">
      <c r="A462" s="16" t="s">
        <v>51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11635</v>
      </c>
      <c r="E462" s="16" t="s">
        <v>11636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11637</v>
      </c>
      <c r="E463" s="16" t="s">
        <v>11638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11639</v>
      </c>
      <c r="E464" s="16" t="s">
        <v>11640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11641</v>
      </c>
      <c r="E465" s="16" t="s">
        <v>11642</v>
      </c>
      <c r="F465" s="18">
        <v>245605.88</v>
      </c>
      <c r="G465" s="18">
        <v>1554734.55</v>
      </c>
      <c r="H465" s="18">
        <v>290.19</v>
      </c>
      <c r="I465" s="18">
        <v>0</v>
      </c>
      <c r="J465" s="18">
        <v>992115.12000000011</v>
      </c>
      <c r="K465" s="18">
        <v>0</v>
      </c>
      <c r="L465" s="18">
        <v>0</v>
      </c>
      <c r="M465" s="20">
        <v>807935.12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11643</v>
      </c>
      <c r="E466" s="16" t="s">
        <v>11644</v>
      </c>
      <c r="F466" s="18">
        <v>51494793.150000006</v>
      </c>
      <c r="G466" s="18">
        <v>77942803.659999996</v>
      </c>
      <c r="H466" s="18">
        <v>72108088.839999989</v>
      </c>
      <c r="I466" s="18">
        <v>0</v>
      </c>
      <c r="J466" s="18">
        <v>0</v>
      </c>
      <c r="K466" s="18">
        <v>0</v>
      </c>
      <c r="L466" s="18">
        <v>35516.11</v>
      </c>
      <c r="M466" s="20">
        <v>57293991.859999999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11645</v>
      </c>
      <c r="E467" s="16" t="s">
        <v>11646</v>
      </c>
      <c r="F467" s="18">
        <v>747139.61</v>
      </c>
      <c r="G467" s="18">
        <v>8118.12</v>
      </c>
      <c r="H467" s="18">
        <v>357007.62</v>
      </c>
      <c r="I467" s="18">
        <v>565868.08000000007</v>
      </c>
      <c r="J467" s="18">
        <v>202759.97999999998</v>
      </c>
      <c r="K467" s="18">
        <v>0</v>
      </c>
      <c r="L467" s="18">
        <v>7701.3200000000006</v>
      </c>
      <c r="M467" s="20">
        <v>753656.89</v>
      </c>
      <c r="N467" s="20"/>
      <c r="O467" s="19"/>
    </row>
    <row r="468" spans="1:15" s="16" customFormat="1" hidden="1" x14ac:dyDescent="0.25">
      <c r="A468" s="16" t="s">
        <v>51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11647</v>
      </c>
      <c r="E468" s="16" t="s">
        <v>11648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11649</v>
      </c>
      <c r="E469" s="16" t="s">
        <v>11650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11651</v>
      </c>
      <c r="E470" s="16" t="s">
        <v>11652</v>
      </c>
      <c r="F470" s="18">
        <v>1158.3400000000001</v>
      </c>
      <c r="G470" s="18">
        <v>750</v>
      </c>
      <c r="H470" s="18">
        <v>61287.840000000004</v>
      </c>
      <c r="I470" s="18">
        <v>133835.83000000002</v>
      </c>
      <c r="J470" s="18">
        <v>0</v>
      </c>
      <c r="K470" s="18">
        <v>0</v>
      </c>
      <c r="L470" s="18">
        <v>0</v>
      </c>
      <c r="M470" s="20">
        <v>74456.33</v>
      </c>
      <c r="N470" s="20"/>
      <c r="O470" s="19"/>
    </row>
    <row r="471" spans="1:15" s="16" customFormat="1" x14ac:dyDescent="0.25">
      <c r="A471" s="16" t="s">
        <v>51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11653</v>
      </c>
      <c r="E471" s="16" t="s">
        <v>11654</v>
      </c>
      <c r="F471" s="18">
        <v>335331.14</v>
      </c>
      <c r="G471" s="18">
        <v>9321.6</v>
      </c>
      <c r="H471" s="18">
        <v>0</v>
      </c>
      <c r="I471" s="18">
        <v>0</v>
      </c>
      <c r="J471" s="18">
        <v>16396.29</v>
      </c>
      <c r="K471" s="18">
        <v>0</v>
      </c>
      <c r="L471" s="18">
        <v>0</v>
      </c>
      <c r="M471" s="20">
        <v>328256.45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11655</v>
      </c>
      <c r="E472" s="16" t="s">
        <v>11656</v>
      </c>
      <c r="F472" s="18">
        <v>3893889.6199999996</v>
      </c>
      <c r="G472" s="18">
        <v>168471.44</v>
      </c>
      <c r="H472" s="18">
        <v>70869.36</v>
      </c>
      <c r="I472" s="18">
        <v>3887</v>
      </c>
      <c r="J472" s="18">
        <v>13674.71</v>
      </c>
      <c r="K472" s="18">
        <v>0</v>
      </c>
      <c r="L472" s="18">
        <v>1090.8</v>
      </c>
      <c r="M472" s="20">
        <v>3980613.19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11657</v>
      </c>
      <c r="E473" s="16" t="s">
        <v>11658</v>
      </c>
      <c r="F473" s="18">
        <v>12133496.51</v>
      </c>
      <c r="G473" s="18">
        <v>621467.06000000006</v>
      </c>
      <c r="H473" s="18">
        <v>7223.73</v>
      </c>
      <c r="I473" s="18">
        <v>0</v>
      </c>
      <c r="J473" s="18">
        <v>837.99999999999989</v>
      </c>
      <c r="K473" s="18">
        <v>14657.500000000002</v>
      </c>
      <c r="L473" s="18">
        <v>0</v>
      </c>
      <c r="M473" s="20">
        <v>12761559.34</v>
      </c>
      <c r="N473" s="20"/>
      <c r="O473" s="19"/>
    </row>
    <row r="474" spans="1:15" s="16" customFormat="1" hidden="1" x14ac:dyDescent="0.25">
      <c r="A474" s="16" t="s">
        <v>51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11659</v>
      </c>
      <c r="E474" s="16" t="s">
        <v>11660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11661</v>
      </c>
      <c r="E475" s="16" t="s">
        <v>11662</v>
      </c>
      <c r="F475" s="18">
        <v>575997.48</v>
      </c>
      <c r="G475" s="18">
        <v>72127.05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648124.53</v>
      </c>
      <c r="N475" s="20"/>
      <c r="O475" s="19"/>
    </row>
    <row r="476" spans="1:15" s="16" customFormat="1" x14ac:dyDescent="0.25">
      <c r="A476" s="16" t="s">
        <v>51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11663</v>
      </c>
      <c r="E476" s="16" t="s">
        <v>11664</v>
      </c>
      <c r="F476" s="18">
        <v>998237.72</v>
      </c>
      <c r="G476" s="18">
        <v>873.54000000000008</v>
      </c>
      <c r="H476" s="18">
        <v>706.01</v>
      </c>
      <c r="I476" s="18">
        <v>0</v>
      </c>
      <c r="J476" s="18">
        <v>51</v>
      </c>
      <c r="K476" s="18">
        <v>0</v>
      </c>
      <c r="L476" s="18">
        <v>0</v>
      </c>
      <c r="M476" s="20">
        <v>998354.25</v>
      </c>
      <c r="N476" s="20"/>
      <c r="O476" s="19"/>
    </row>
    <row r="477" spans="1:15" s="16" customFormat="1" x14ac:dyDescent="0.25">
      <c r="A477" s="16" t="s">
        <v>51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11665</v>
      </c>
      <c r="E477" s="16" t="s">
        <v>11666</v>
      </c>
      <c r="F477" s="18">
        <v>8777.58</v>
      </c>
      <c r="G477" s="18">
        <v>7.65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8785.23</v>
      </c>
      <c r="N477" s="20"/>
      <c r="O477" s="19"/>
    </row>
    <row r="478" spans="1:15" s="16" customFormat="1" x14ac:dyDescent="0.25">
      <c r="A478" s="16" t="s">
        <v>51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11667</v>
      </c>
      <c r="E478" s="16" t="s">
        <v>11668</v>
      </c>
      <c r="F478" s="18">
        <v>4698.03</v>
      </c>
      <c r="G478" s="18">
        <v>1.58</v>
      </c>
      <c r="H478" s="18">
        <v>0</v>
      </c>
      <c r="I478" s="18">
        <v>169</v>
      </c>
      <c r="J478" s="18">
        <v>0</v>
      </c>
      <c r="K478" s="18">
        <v>0</v>
      </c>
      <c r="L478" s="18">
        <v>0</v>
      </c>
      <c r="M478" s="20">
        <v>4868.6100000000006</v>
      </c>
      <c r="N478" s="20"/>
      <c r="O478" s="19"/>
    </row>
    <row r="479" spans="1:15" s="16" customFormat="1" x14ac:dyDescent="0.25">
      <c r="A479" s="16" t="s">
        <v>51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11669</v>
      </c>
      <c r="E479" s="16" t="s">
        <v>11670</v>
      </c>
      <c r="F479" s="18">
        <v>2683.3599999999997</v>
      </c>
      <c r="G479" s="18">
        <v>0</v>
      </c>
      <c r="H479" s="18">
        <v>36289376.450000003</v>
      </c>
      <c r="I479" s="18">
        <v>36288389.039999999</v>
      </c>
      <c r="J479" s="18">
        <v>0</v>
      </c>
      <c r="K479" s="18">
        <v>0</v>
      </c>
      <c r="L479" s="18">
        <v>0</v>
      </c>
      <c r="M479" s="20">
        <v>1695.9500000000003</v>
      </c>
      <c r="N479" s="20"/>
      <c r="O479" s="19"/>
    </row>
    <row r="480" spans="1:15" s="16" customFormat="1" x14ac:dyDescent="0.25">
      <c r="A480" s="16" t="s">
        <v>51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11671</v>
      </c>
      <c r="E480" s="16" t="s">
        <v>11672</v>
      </c>
      <c r="F480" s="18">
        <v>118975.49</v>
      </c>
      <c r="G480" s="18">
        <v>0</v>
      </c>
      <c r="H480" s="18">
        <v>13065219.619999999</v>
      </c>
      <c r="I480" s="18">
        <v>13065153.569999998</v>
      </c>
      <c r="J480" s="18">
        <v>0</v>
      </c>
      <c r="K480" s="18">
        <v>0</v>
      </c>
      <c r="L480" s="18">
        <v>0</v>
      </c>
      <c r="M480" s="20">
        <v>118909.43999999999</v>
      </c>
      <c r="N480" s="20"/>
      <c r="O480" s="19"/>
    </row>
    <row r="481" spans="1:15" s="16" customFormat="1" x14ac:dyDescent="0.25">
      <c r="A481" s="16" t="s">
        <v>51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11673</v>
      </c>
      <c r="E481" s="16" t="s">
        <v>11674</v>
      </c>
      <c r="F481" s="18">
        <v>1665.8999999999999</v>
      </c>
      <c r="G481" s="18">
        <v>0.62</v>
      </c>
      <c r="H481" s="18">
        <v>0</v>
      </c>
      <c r="I481" s="18">
        <v>298</v>
      </c>
      <c r="J481" s="18">
        <v>0</v>
      </c>
      <c r="K481" s="18">
        <v>0</v>
      </c>
      <c r="L481" s="18">
        <v>0</v>
      </c>
      <c r="M481" s="20">
        <v>1964.5200000000002</v>
      </c>
      <c r="N481" s="20"/>
      <c r="O481" s="19"/>
    </row>
    <row r="482" spans="1:15" s="16" customFormat="1" x14ac:dyDescent="0.25">
      <c r="A482" s="16" t="s">
        <v>51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11675</v>
      </c>
      <c r="E482" s="16" t="s">
        <v>11676</v>
      </c>
      <c r="F482" s="18">
        <v>77.100000000000009</v>
      </c>
      <c r="G482" s="18">
        <v>0.03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77.13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11677</v>
      </c>
      <c r="E483" s="16" t="s">
        <v>11678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11679</v>
      </c>
      <c r="E484" s="16" t="s">
        <v>11680</v>
      </c>
      <c r="F484" s="18">
        <v>485.12</v>
      </c>
      <c r="G484" s="18">
        <v>0.22</v>
      </c>
      <c r="H484" s="18">
        <v>0</v>
      </c>
      <c r="I484" s="18">
        <v>2</v>
      </c>
      <c r="J484" s="18">
        <v>0</v>
      </c>
      <c r="K484" s="18">
        <v>0</v>
      </c>
      <c r="L484" s="18">
        <v>0</v>
      </c>
      <c r="M484" s="20">
        <v>487.34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11681</v>
      </c>
      <c r="E485" s="16" t="s">
        <v>11682</v>
      </c>
      <c r="F485" s="18">
        <v>457.07000000000005</v>
      </c>
      <c r="G485" s="18">
        <v>0.22</v>
      </c>
      <c r="H485" s="18">
        <v>0</v>
      </c>
      <c r="I485" s="18">
        <v>200</v>
      </c>
      <c r="J485" s="18">
        <v>0</v>
      </c>
      <c r="K485" s="18">
        <v>0</v>
      </c>
      <c r="L485" s="18">
        <v>0</v>
      </c>
      <c r="M485" s="20">
        <v>657.29</v>
      </c>
      <c r="N485" s="20"/>
      <c r="O485" s="19"/>
    </row>
    <row r="486" spans="1:15" s="16" customFormat="1" x14ac:dyDescent="0.25">
      <c r="A486" s="16" t="s">
        <v>51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11683</v>
      </c>
      <c r="E486" s="16" t="s">
        <v>11684</v>
      </c>
      <c r="F486" s="18">
        <v>859.6</v>
      </c>
      <c r="G486" s="18">
        <v>0.3</v>
      </c>
      <c r="H486" s="18">
        <v>0</v>
      </c>
      <c r="I486" s="18">
        <v>27</v>
      </c>
      <c r="J486" s="18">
        <v>0</v>
      </c>
      <c r="K486" s="18">
        <v>0</v>
      </c>
      <c r="L486" s="18">
        <v>0</v>
      </c>
      <c r="M486" s="20">
        <v>886.90000000000009</v>
      </c>
      <c r="N486" s="20"/>
      <c r="O486" s="19"/>
    </row>
    <row r="487" spans="1:15" s="16" customFormat="1" x14ac:dyDescent="0.25">
      <c r="A487" s="16" t="s">
        <v>51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11685</v>
      </c>
      <c r="E487" s="16" t="s">
        <v>11686</v>
      </c>
      <c r="F487" s="18">
        <v>251194.84000000003</v>
      </c>
      <c r="G487" s="18">
        <v>88733.11</v>
      </c>
      <c r="H487" s="18">
        <v>3760.13</v>
      </c>
      <c r="I487" s="18">
        <v>0</v>
      </c>
      <c r="J487" s="18">
        <v>226032.03</v>
      </c>
      <c r="K487" s="18">
        <v>8400</v>
      </c>
      <c r="L487" s="18">
        <v>0</v>
      </c>
      <c r="M487" s="20">
        <v>118535.79000000001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11687</v>
      </c>
      <c r="E488" s="16" t="s">
        <v>11688</v>
      </c>
      <c r="F488" s="18">
        <v>1428.7</v>
      </c>
      <c r="G488" s="18">
        <v>0.52</v>
      </c>
      <c r="H488" s="18">
        <v>0</v>
      </c>
      <c r="I488" s="18">
        <v>65</v>
      </c>
      <c r="J488" s="18">
        <v>0</v>
      </c>
      <c r="K488" s="18">
        <v>0</v>
      </c>
      <c r="L488" s="18">
        <v>0</v>
      </c>
      <c r="M488" s="20">
        <v>1494.22</v>
      </c>
      <c r="N488" s="20"/>
      <c r="O488" s="19"/>
    </row>
    <row r="489" spans="1:15" s="16" customFormat="1" x14ac:dyDescent="0.25">
      <c r="A489" s="16" t="s">
        <v>51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11689</v>
      </c>
      <c r="E489" s="16" t="s">
        <v>11690</v>
      </c>
      <c r="F489" s="18">
        <v>2953.91</v>
      </c>
      <c r="G489" s="18">
        <v>1.02</v>
      </c>
      <c r="H489" s="18">
        <v>0</v>
      </c>
      <c r="I489" s="18">
        <v>88</v>
      </c>
      <c r="J489" s="18">
        <v>0</v>
      </c>
      <c r="K489" s="18">
        <v>0</v>
      </c>
      <c r="L489" s="18">
        <v>0</v>
      </c>
      <c r="M489" s="20">
        <v>3042.9300000000003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11691</v>
      </c>
      <c r="E490" s="16" t="s">
        <v>11692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11693</v>
      </c>
      <c r="E491" s="16" t="s">
        <v>11694</v>
      </c>
      <c r="F491" s="18">
        <v>2016.43</v>
      </c>
      <c r="G491" s="18">
        <v>0.73</v>
      </c>
      <c r="H491" s="18">
        <v>0</v>
      </c>
      <c r="I491" s="18">
        <v>209.99999999999997</v>
      </c>
      <c r="J491" s="18">
        <v>0</v>
      </c>
      <c r="K491" s="18">
        <v>0</v>
      </c>
      <c r="L491" s="18">
        <v>0</v>
      </c>
      <c r="M491" s="20">
        <v>2227.16</v>
      </c>
      <c r="N491" s="20"/>
      <c r="O491" s="19"/>
    </row>
    <row r="492" spans="1:15" s="16" customFormat="1" x14ac:dyDescent="0.25">
      <c r="A492" s="16" t="s">
        <v>51</v>
      </c>
      <c r="B492" s="16" t="str">
        <f t="shared" si="7"/>
        <v>show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11695</v>
      </c>
      <c r="E492" s="16" t="s">
        <v>11696</v>
      </c>
      <c r="F492" s="18">
        <v>0</v>
      </c>
      <c r="G492" s="18">
        <v>480103.74000000005</v>
      </c>
      <c r="H492" s="18">
        <v>480103.74000000005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11697</v>
      </c>
      <c r="E493" s="16" t="s">
        <v>11698</v>
      </c>
      <c r="F493" s="18">
        <v>445728.18</v>
      </c>
      <c r="G493" s="18">
        <v>8921.14</v>
      </c>
      <c r="H493" s="18">
        <v>426650.26999999996</v>
      </c>
      <c r="I493" s="18">
        <v>0</v>
      </c>
      <c r="J493" s="18">
        <v>0</v>
      </c>
      <c r="K493" s="18">
        <v>0</v>
      </c>
      <c r="L493" s="18">
        <v>0</v>
      </c>
      <c r="M493" s="20">
        <v>27999.050000000003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11699</v>
      </c>
      <c r="E494" s="16" t="s">
        <v>11700</v>
      </c>
      <c r="F494" s="18">
        <v>130401.75</v>
      </c>
      <c r="G494" s="18">
        <v>1320.43</v>
      </c>
      <c r="H494" s="18">
        <v>6000</v>
      </c>
      <c r="I494" s="18">
        <v>1576</v>
      </c>
      <c r="J494" s="18">
        <v>0</v>
      </c>
      <c r="K494" s="18">
        <v>0</v>
      </c>
      <c r="L494" s="18">
        <v>0</v>
      </c>
      <c r="M494" s="20">
        <v>127298.18000000001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11701</v>
      </c>
      <c r="E495" s="16" t="s">
        <v>11702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11703</v>
      </c>
      <c r="E496" s="16" t="s">
        <v>11704</v>
      </c>
      <c r="F496" s="18">
        <v>80998.97</v>
      </c>
      <c r="G496" s="18">
        <v>42062.71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123061.68</v>
      </c>
      <c r="N496" s="20"/>
      <c r="O496" s="19"/>
    </row>
    <row r="497" spans="1:15" s="16" customFormat="1" hidden="1" x14ac:dyDescent="0.25">
      <c r="A497" s="16" t="s">
        <v>51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11705</v>
      </c>
      <c r="E497" s="16" t="s">
        <v>11706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11707</v>
      </c>
      <c r="E498" s="16" t="s">
        <v>11708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51</v>
      </c>
      <c r="B499" s="16" t="str">
        <f t="shared" si="7"/>
        <v>hide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11709</v>
      </c>
      <c r="E499" s="16" t="s">
        <v>11710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11711</v>
      </c>
      <c r="E500" s="16" t="s">
        <v>11712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11713</v>
      </c>
      <c r="E501" s="16" t="s">
        <v>11714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11715</v>
      </c>
      <c r="E502" s="16" t="s">
        <v>11716</v>
      </c>
      <c r="F502" s="18">
        <v>75.88</v>
      </c>
      <c r="G502" s="18">
        <v>0.03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75.91</v>
      </c>
      <c r="N502" s="20"/>
      <c r="O502" s="19"/>
    </row>
    <row r="503" spans="1:15" s="16" customFormat="1" x14ac:dyDescent="0.25">
      <c r="A503" s="16" t="s">
        <v>51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11717</v>
      </c>
      <c r="E503" s="16" t="s">
        <v>11718</v>
      </c>
      <c r="F503" s="18">
        <v>225840.23</v>
      </c>
      <c r="G503" s="18">
        <v>13752.999999999998</v>
      </c>
      <c r="H503" s="18">
        <v>20540.099999999999</v>
      </c>
      <c r="I503" s="18">
        <v>0</v>
      </c>
      <c r="J503" s="18">
        <v>7829.93</v>
      </c>
      <c r="K503" s="18">
        <v>0</v>
      </c>
      <c r="L503" s="18">
        <v>237.45000000000002</v>
      </c>
      <c r="M503" s="20">
        <v>210985.74999999997</v>
      </c>
      <c r="N503" s="20"/>
      <c r="O503" s="19"/>
    </row>
    <row r="504" spans="1:15" s="16" customFormat="1" x14ac:dyDescent="0.25">
      <c r="A504" s="16" t="s">
        <v>51</v>
      </c>
      <c r="B504" s="16" t="str">
        <f t="shared" si="7"/>
        <v>show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11719</v>
      </c>
      <c r="E504" s="16" t="s">
        <v>11720</v>
      </c>
      <c r="F504" s="18">
        <v>0.01</v>
      </c>
      <c r="G504" s="18">
        <v>0</v>
      </c>
      <c r="H504" s="18">
        <v>0</v>
      </c>
      <c r="I504" s="18">
        <v>0</v>
      </c>
      <c r="J504" s="18">
        <v>0.01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11721</v>
      </c>
      <c r="E505" s="16" t="s">
        <v>11722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11723</v>
      </c>
      <c r="E506" s="16" t="s">
        <v>11724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11725</v>
      </c>
      <c r="E507" s="16" t="s">
        <v>11726</v>
      </c>
      <c r="F507" s="18">
        <v>2903390.23</v>
      </c>
      <c r="G507" s="18">
        <v>34497.93</v>
      </c>
      <c r="H507" s="18">
        <v>20177</v>
      </c>
      <c r="I507" s="18">
        <v>2247780</v>
      </c>
      <c r="J507" s="18">
        <v>10922.67</v>
      </c>
      <c r="K507" s="18">
        <v>0</v>
      </c>
      <c r="L507" s="18">
        <v>0</v>
      </c>
      <c r="M507" s="20">
        <v>5154568.49</v>
      </c>
      <c r="N507" s="20"/>
      <c r="O507" s="19"/>
    </row>
    <row r="508" spans="1:15" s="16" customFormat="1" hidden="1" x14ac:dyDescent="0.25">
      <c r="A508" s="16" t="s">
        <v>51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11727</v>
      </c>
      <c r="E508" s="16" t="s">
        <v>11728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11729</v>
      </c>
      <c r="E509" s="16" t="s">
        <v>11730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11731</v>
      </c>
      <c r="E510" s="16" t="s">
        <v>11732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11733</v>
      </c>
      <c r="E511" s="16" t="s">
        <v>11734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11735</v>
      </c>
      <c r="E512" s="16" t="s">
        <v>11736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11737</v>
      </c>
      <c r="E513" s="16" t="s">
        <v>11738</v>
      </c>
      <c r="F513" s="18">
        <v>2186630.85</v>
      </c>
      <c r="G513" s="18">
        <v>75606.710000000006</v>
      </c>
      <c r="H513" s="18">
        <v>0</v>
      </c>
      <c r="I513" s="18">
        <v>0</v>
      </c>
      <c r="J513" s="18">
        <v>2590</v>
      </c>
      <c r="K513" s="18">
        <v>0</v>
      </c>
      <c r="L513" s="18">
        <v>0</v>
      </c>
      <c r="M513" s="20">
        <v>2259647.56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11739</v>
      </c>
      <c r="E514" s="16" t="s">
        <v>11740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11741</v>
      </c>
      <c r="E515" s="16" t="s">
        <v>11742</v>
      </c>
      <c r="F515" s="18">
        <v>25337.01</v>
      </c>
      <c r="G515" s="18">
        <v>45122.66</v>
      </c>
      <c r="H515" s="18">
        <v>13862.06</v>
      </c>
      <c r="I515" s="18">
        <v>0</v>
      </c>
      <c r="J515" s="18">
        <v>0</v>
      </c>
      <c r="K515" s="18">
        <v>0</v>
      </c>
      <c r="L515" s="18">
        <v>0</v>
      </c>
      <c r="M515" s="20">
        <v>56597.609999999993</v>
      </c>
      <c r="N515" s="20"/>
      <c r="O515" s="19"/>
    </row>
    <row r="516" spans="1:15" s="16" customFormat="1" x14ac:dyDescent="0.25">
      <c r="A516" s="16" t="s">
        <v>51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11743</v>
      </c>
      <c r="E516" s="16" t="s">
        <v>11744</v>
      </c>
      <c r="F516" s="18">
        <v>842031.95</v>
      </c>
      <c r="G516" s="18">
        <v>24691.040000000001</v>
      </c>
      <c r="H516" s="18">
        <v>0</v>
      </c>
      <c r="I516" s="18">
        <v>0</v>
      </c>
      <c r="J516" s="18">
        <v>1290</v>
      </c>
      <c r="K516" s="18">
        <v>0</v>
      </c>
      <c r="L516" s="18">
        <v>0</v>
      </c>
      <c r="M516" s="20">
        <v>865432.99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11745</v>
      </c>
      <c r="E517" s="16" t="s">
        <v>11746</v>
      </c>
      <c r="F517" s="18">
        <v>4256.7700000000004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4256.7700000000004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11747</v>
      </c>
      <c r="E518" s="16" t="s">
        <v>11748</v>
      </c>
      <c r="F518" s="18">
        <v>497078.42</v>
      </c>
      <c r="G518" s="18">
        <v>65601.61</v>
      </c>
      <c r="H518" s="18">
        <v>39718.35</v>
      </c>
      <c r="I518" s="18">
        <v>0</v>
      </c>
      <c r="J518" s="18">
        <v>24303.89</v>
      </c>
      <c r="K518" s="18">
        <v>0</v>
      </c>
      <c r="L518" s="18">
        <v>1594.91</v>
      </c>
      <c r="M518" s="20">
        <v>497062.88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11749</v>
      </c>
      <c r="E519" s="16" t="s">
        <v>11750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11751</v>
      </c>
      <c r="E520" s="16" t="s">
        <v>11752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11753</v>
      </c>
      <c r="E521" s="16" t="s">
        <v>11754</v>
      </c>
      <c r="F521" s="18">
        <v>12125.86</v>
      </c>
      <c r="G521" s="18">
        <v>0</v>
      </c>
      <c r="H521" s="18">
        <v>8113</v>
      </c>
      <c r="I521" s="18">
        <v>0</v>
      </c>
      <c r="J521" s="18">
        <v>0</v>
      </c>
      <c r="K521" s="18">
        <v>0</v>
      </c>
      <c r="L521" s="18">
        <v>0</v>
      </c>
      <c r="M521" s="20">
        <v>4012.86</v>
      </c>
      <c r="N521" s="20"/>
      <c r="O521" s="19"/>
    </row>
    <row r="522" spans="1:15" s="16" customFormat="1" hidden="1" x14ac:dyDescent="0.25">
      <c r="A522" s="16" t="s">
        <v>51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11755</v>
      </c>
      <c r="E522" s="16" t="s">
        <v>11756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11757</v>
      </c>
      <c r="E523" s="16" t="s">
        <v>11758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12265</v>
      </c>
      <c r="E524" s="16" t="s">
        <v>11759</v>
      </c>
      <c r="F524" s="18">
        <v>5392791.4100000001</v>
      </c>
      <c r="G524" s="18">
        <v>6793.7899999999991</v>
      </c>
      <c r="H524" s="18">
        <v>624928.76</v>
      </c>
      <c r="I524" s="18">
        <v>734298.28</v>
      </c>
      <c r="J524" s="18">
        <v>642048.39999999991</v>
      </c>
      <c r="K524" s="18">
        <v>0</v>
      </c>
      <c r="L524" s="18">
        <v>0</v>
      </c>
      <c r="M524" s="20">
        <v>4866906.3199999994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11760</v>
      </c>
      <c r="E525" s="16" t="s">
        <v>11761</v>
      </c>
      <c r="F525" s="18">
        <v>9802294.4199999999</v>
      </c>
      <c r="G525" s="18">
        <v>21173.88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9823468.2999999989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11762</v>
      </c>
      <c r="E526" s="16" t="s">
        <v>11763</v>
      </c>
      <c r="F526" s="18">
        <v>7170723.5799999991</v>
      </c>
      <c r="G526" s="18">
        <v>455550.10000000003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7626273.6800000006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11764</v>
      </c>
      <c r="E527" s="16" t="s">
        <v>11765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11766</v>
      </c>
      <c r="E528" s="16" t="s">
        <v>11767</v>
      </c>
      <c r="F528" s="18">
        <v>1296868.6100000001</v>
      </c>
      <c r="G528" s="18">
        <v>173069.76</v>
      </c>
      <c r="H528" s="18">
        <v>1159609.6099999999</v>
      </c>
      <c r="I528" s="18">
        <v>1655029.96</v>
      </c>
      <c r="J528" s="18">
        <v>13608.68</v>
      </c>
      <c r="K528" s="18">
        <v>0</v>
      </c>
      <c r="L528" s="18">
        <v>0</v>
      </c>
      <c r="M528" s="20">
        <v>1951750.0399999998</v>
      </c>
      <c r="N528" s="20"/>
      <c r="O528" s="19"/>
    </row>
    <row r="529" spans="1:15" s="16" customFormat="1" x14ac:dyDescent="0.25">
      <c r="A529" s="16" t="s">
        <v>51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11768</v>
      </c>
      <c r="E529" s="16" t="s">
        <v>11769</v>
      </c>
      <c r="F529" s="18">
        <v>224889.23</v>
      </c>
      <c r="G529" s="18">
        <v>16507.149999999998</v>
      </c>
      <c r="H529" s="18">
        <v>6491.02</v>
      </c>
      <c r="I529" s="18">
        <v>0</v>
      </c>
      <c r="J529" s="18">
        <v>571.66</v>
      </c>
      <c r="K529" s="18">
        <v>0</v>
      </c>
      <c r="L529" s="18">
        <v>445.95</v>
      </c>
      <c r="M529" s="20">
        <v>233887.75000000003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11770</v>
      </c>
      <c r="E530" s="16" t="s">
        <v>11771</v>
      </c>
      <c r="F530" s="18">
        <v>18611.649999999998</v>
      </c>
      <c r="G530" s="18">
        <v>1994.06</v>
      </c>
      <c r="H530" s="18">
        <v>327</v>
      </c>
      <c r="I530" s="18">
        <v>0</v>
      </c>
      <c r="J530" s="18">
        <v>0</v>
      </c>
      <c r="K530" s="18">
        <v>0</v>
      </c>
      <c r="L530" s="18">
        <v>0</v>
      </c>
      <c r="M530" s="20">
        <v>20278.71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11772</v>
      </c>
      <c r="E531" s="16" t="s">
        <v>11773</v>
      </c>
      <c r="F531" s="18">
        <v>152840.6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152840.6</v>
      </c>
      <c r="N531" s="20"/>
      <c r="O531" s="19"/>
    </row>
    <row r="532" spans="1:15" s="16" customFormat="1" hidden="1" x14ac:dyDescent="0.25">
      <c r="A532" s="16" t="s">
        <v>51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11774</v>
      </c>
      <c r="E532" s="16" t="s">
        <v>11775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11776</v>
      </c>
      <c r="E533" s="16" t="s">
        <v>11777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11778</v>
      </c>
      <c r="E534" s="16" t="s">
        <v>11779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11780</v>
      </c>
      <c r="E535" s="16" t="s">
        <v>11781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11782</v>
      </c>
      <c r="E536" s="16" t="s">
        <v>11783</v>
      </c>
      <c r="F536" s="18">
        <v>9706.31</v>
      </c>
      <c r="G536" s="18">
        <v>0</v>
      </c>
      <c r="H536" s="18">
        <v>40870161.829999998</v>
      </c>
      <c r="I536" s="18">
        <v>40869588.299999997</v>
      </c>
      <c r="J536" s="18">
        <v>0</v>
      </c>
      <c r="K536" s="18">
        <v>0</v>
      </c>
      <c r="L536" s="18">
        <v>0</v>
      </c>
      <c r="M536" s="20">
        <v>9132.7800000000007</v>
      </c>
      <c r="N536" s="20"/>
      <c r="O536" s="19"/>
    </row>
    <row r="537" spans="1:15" s="16" customFormat="1" x14ac:dyDescent="0.25">
      <c r="A537" s="16" t="s">
        <v>51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11784</v>
      </c>
      <c r="E537" s="16" t="s">
        <v>11785</v>
      </c>
      <c r="F537" s="18">
        <v>46377.21</v>
      </c>
      <c r="G537" s="18">
        <v>0</v>
      </c>
      <c r="H537" s="18">
        <v>3468.36</v>
      </c>
      <c r="I537" s="18">
        <v>0</v>
      </c>
      <c r="J537" s="18">
        <v>2200.84</v>
      </c>
      <c r="K537" s="18">
        <v>0</v>
      </c>
      <c r="L537" s="18">
        <v>0</v>
      </c>
      <c r="M537" s="20">
        <v>40708.01</v>
      </c>
      <c r="N537" s="20"/>
      <c r="O537" s="19"/>
    </row>
    <row r="538" spans="1:15" s="16" customFormat="1" hidden="1" x14ac:dyDescent="0.25">
      <c r="A538" s="16" t="s">
        <v>51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11786</v>
      </c>
      <c r="E538" s="16" t="s">
        <v>11787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11788</v>
      </c>
      <c r="E539" s="16" t="s">
        <v>11789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11790</v>
      </c>
      <c r="E540" s="16" t="s">
        <v>11791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51</v>
      </c>
      <c r="B541" s="16" t="str">
        <f t="shared" si="8"/>
        <v>show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11792</v>
      </c>
      <c r="E541" s="16" t="s">
        <v>11793</v>
      </c>
      <c r="F541" s="18">
        <v>2557</v>
      </c>
      <c r="G541" s="18">
        <v>0.31</v>
      </c>
      <c r="H541" s="18">
        <v>0</v>
      </c>
      <c r="I541" s="18">
        <v>0</v>
      </c>
      <c r="J541" s="18">
        <v>2557.31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11794</v>
      </c>
      <c r="E542" s="16" t="s">
        <v>11795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11796</v>
      </c>
      <c r="E543" s="16" t="s">
        <v>11797</v>
      </c>
      <c r="F543" s="18">
        <v>2337281.5499999998</v>
      </c>
      <c r="G543" s="18">
        <v>54423.24</v>
      </c>
      <c r="H543" s="18">
        <v>14517.23</v>
      </c>
      <c r="I543" s="18">
        <v>0</v>
      </c>
      <c r="J543" s="18">
        <v>3210.9700000000003</v>
      </c>
      <c r="K543" s="18">
        <v>0</v>
      </c>
      <c r="L543" s="18">
        <v>42.36</v>
      </c>
      <c r="M543" s="20">
        <v>2373934.23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11798</v>
      </c>
      <c r="E544" s="16" t="s">
        <v>11799</v>
      </c>
      <c r="F544" s="18">
        <v>104.86</v>
      </c>
      <c r="G544" s="18">
        <v>0.04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104.89999999999999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11800</v>
      </c>
      <c r="E545" s="16" t="s">
        <v>11801</v>
      </c>
      <c r="F545" s="18">
        <v>1703.46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1703.46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11802</v>
      </c>
      <c r="E546" s="16" t="s">
        <v>11803</v>
      </c>
      <c r="F546" s="18">
        <v>10154.02</v>
      </c>
      <c r="G546" s="18">
        <v>5127.21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15281.230000000001</v>
      </c>
      <c r="N546" s="20"/>
      <c r="O546" s="19"/>
    </row>
    <row r="547" spans="1:15" s="16" customFormat="1" hidden="1" x14ac:dyDescent="0.25">
      <c r="A547" s="16" t="s">
        <v>51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11804</v>
      </c>
      <c r="E547" s="16" t="s">
        <v>11805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11806</v>
      </c>
      <c r="E548" s="16" t="s">
        <v>11807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11808</v>
      </c>
      <c r="E549" s="16" t="s">
        <v>11809</v>
      </c>
      <c r="F549" s="18">
        <v>27952.1</v>
      </c>
      <c r="G549" s="18">
        <v>2606.09</v>
      </c>
      <c r="H549" s="18">
        <v>12433.64</v>
      </c>
      <c r="I549" s="18">
        <v>0</v>
      </c>
      <c r="J549" s="18">
        <v>15924.419999999998</v>
      </c>
      <c r="K549" s="18">
        <v>0</v>
      </c>
      <c r="L549" s="18">
        <v>24.62</v>
      </c>
      <c r="M549" s="20">
        <v>2175.5100000000002</v>
      </c>
      <c r="N549" s="20"/>
      <c r="O549" s="19"/>
    </row>
    <row r="550" spans="1:15" s="16" customFormat="1" x14ac:dyDescent="0.25">
      <c r="A550" s="16" t="s">
        <v>51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11810</v>
      </c>
      <c r="E550" s="16" t="s">
        <v>11811</v>
      </c>
      <c r="F550" s="18">
        <v>217169.97</v>
      </c>
      <c r="G550" s="18">
        <v>11100</v>
      </c>
      <c r="H550" s="18">
        <v>1595.64</v>
      </c>
      <c r="I550" s="18">
        <v>0</v>
      </c>
      <c r="J550" s="18">
        <v>1597.91</v>
      </c>
      <c r="K550" s="18">
        <v>0</v>
      </c>
      <c r="L550" s="18">
        <v>8.56</v>
      </c>
      <c r="M550" s="20">
        <v>225067.86000000002</v>
      </c>
      <c r="N550" s="20"/>
      <c r="O550" s="19"/>
    </row>
    <row r="551" spans="1:15" s="16" customFormat="1" x14ac:dyDescent="0.25">
      <c r="A551" s="16" t="s">
        <v>51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11812</v>
      </c>
      <c r="E551" s="16" t="s">
        <v>11813</v>
      </c>
      <c r="F551" s="18">
        <v>649217.72</v>
      </c>
      <c r="G551" s="18">
        <v>562.24</v>
      </c>
      <c r="H551" s="18">
        <v>45935.69</v>
      </c>
      <c r="I551" s="18">
        <v>0</v>
      </c>
      <c r="J551" s="18">
        <v>162</v>
      </c>
      <c r="K551" s="18">
        <v>0</v>
      </c>
      <c r="L551" s="18">
        <v>0</v>
      </c>
      <c r="M551" s="20">
        <v>603682.27</v>
      </c>
      <c r="N551" s="20"/>
      <c r="O551" s="19"/>
    </row>
    <row r="552" spans="1:15" s="16" customFormat="1" x14ac:dyDescent="0.25">
      <c r="A552" s="16" t="s">
        <v>51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11814</v>
      </c>
      <c r="E552" s="16" t="s">
        <v>11815</v>
      </c>
      <c r="F552" s="18">
        <v>4646934.3500000006</v>
      </c>
      <c r="G552" s="18">
        <v>5095.66</v>
      </c>
      <c r="H552" s="18">
        <v>400098.77999999997</v>
      </c>
      <c r="I552" s="18">
        <v>0</v>
      </c>
      <c r="J552" s="18">
        <v>11382.19</v>
      </c>
      <c r="K552" s="18">
        <v>0</v>
      </c>
      <c r="L552" s="18">
        <v>3287.5499999999997</v>
      </c>
      <c r="M552" s="20">
        <v>4237261.49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11816</v>
      </c>
      <c r="E553" s="16" t="s">
        <v>11817</v>
      </c>
      <c r="F553" s="18">
        <v>4570512.0699999994</v>
      </c>
      <c r="G553" s="18">
        <v>738699.83000000007</v>
      </c>
      <c r="H553" s="18">
        <v>15152.01</v>
      </c>
      <c r="I553" s="18">
        <v>0</v>
      </c>
      <c r="J553" s="18">
        <v>18156.8</v>
      </c>
      <c r="K553" s="18">
        <v>0</v>
      </c>
      <c r="L553" s="18">
        <v>98.899999999999991</v>
      </c>
      <c r="M553" s="20">
        <v>5275804.1899999995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11818</v>
      </c>
      <c r="E554" s="16" t="s">
        <v>11819</v>
      </c>
      <c r="F554" s="18">
        <v>3867544.86</v>
      </c>
      <c r="G554" s="18">
        <v>0</v>
      </c>
      <c r="H554" s="18">
        <v>22191129.75</v>
      </c>
      <c r="I554" s="18">
        <v>23273190.550000001</v>
      </c>
      <c r="J554" s="18">
        <v>0</v>
      </c>
      <c r="K554" s="18">
        <v>0</v>
      </c>
      <c r="L554" s="18">
        <v>21041.51</v>
      </c>
      <c r="M554" s="20">
        <v>4928564.1500000004</v>
      </c>
      <c r="N554" s="20"/>
      <c r="O554" s="19"/>
    </row>
    <row r="555" spans="1:15" s="16" customFormat="1" x14ac:dyDescent="0.25">
      <c r="A555" s="16" t="s">
        <v>51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11820</v>
      </c>
      <c r="E555" s="16" t="s">
        <v>11821</v>
      </c>
      <c r="F555" s="18">
        <v>3966416.17</v>
      </c>
      <c r="G555" s="18">
        <v>47705.5</v>
      </c>
      <c r="H555" s="18">
        <v>16162.34</v>
      </c>
      <c r="I555" s="18">
        <v>0</v>
      </c>
      <c r="J555" s="18">
        <v>143736.07999999999</v>
      </c>
      <c r="K555" s="18">
        <v>0</v>
      </c>
      <c r="L555" s="18">
        <v>2426</v>
      </c>
      <c r="M555" s="20">
        <v>3851797.25</v>
      </c>
      <c r="N555" s="20"/>
      <c r="O555" s="19"/>
    </row>
    <row r="556" spans="1:15" s="16" customFormat="1" hidden="1" x14ac:dyDescent="0.25">
      <c r="A556" s="16" t="s">
        <v>51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11822</v>
      </c>
      <c r="E556" s="16" t="s">
        <v>11823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11824</v>
      </c>
      <c r="E557" s="16" t="s">
        <v>11825</v>
      </c>
      <c r="F557" s="18">
        <v>334096.2</v>
      </c>
      <c r="G557" s="18">
        <v>159771.69999999998</v>
      </c>
      <c r="H557" s="18">
        <v>36408.21</v>
      </c>
      <c r="I557" s="18">
        <v>0</v>
      </c>
      <c r="J557" s="18">
        <v>18603.98</v>
      </c>
      <c r="K557" s="18">
        <v>0</v>
      </c>
      <c r="L557" s="18">
        <v>0.9</v>
      </c>
      <c r="M557" s="20">
        <v>438854.81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11826</v>
      </c>
      <c r="E558" s="16" t="s">
        <v>11827</v>
      </c>
      <c r="F558" s="18">
        <v>5180554.5999999996</v>
      </c>
      <c r="G558" s="18">
        <v>183937.35</v>
      </c>
      <c r="H558" s="18">
        <v>286164.92</v>
      </c>
      <c r="I558" s="18">
        <v>0</v>
      </c>
      <c r="J558" s="18">
        <v>264</v>
      </c>
      <c r="K558" s="18">
        <v>0</v>
      </c>
      <c r="L558" s="18">
        <v>0</v>
      </c>
      <c r="M558" s="20">
        <v>5078063.03</v>
      </c>
      <c r="N558" s="20"/>
      <c r="O558" s="19"/>
    </row>
    <row r="559" spans="1:15" s="16" customFormat="1" hidden="1" x14ac:dyDescent="0.25">
      <c r="A559" s="16" t="s">
        <v>51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11828</v>
      </c>
      <c r="E559" s="16" t="s">
        <v>11829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11830</v>
      </c>
      <c r="E560" s="16" t="s">
        <v>11831</v>
      </c>
      <c r="F560" s="18">
        <v>963710.73</v>
      </c>
      <c r="G560" s="18">
        <v>80310.929999999993</v>
      </c>
      <c r="H560" s="18">
        <v>0</v>
      </c>
      <c r="I560" s="18">
        <v>0</v>
      </c>
      <c r="J560" s="18">
        <v>259</v>
      </c>
      <c r="K560" s="18">
        <v>0</v>
      </c>
      <c r="L560" s="18">
        <v>0</v>
      </c>
      <c r="M560" s="20">
        <v>1043762.66</v>
      </c>
      <c r="N560" s="20"/>
      <c r="O560" s="19"/>
    </row>
    <row r="561" spans="1:15" s="16" customFormat="1" hidden="1" x14ac:dyDescent="0.25">
      <c r="A561" s="16" t="s">
        <v>51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11832</v>
      </c>
      <c r="E561" s="16" t="s">
        <v>11833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11834</v>
      </c>
      <c r="E562" s="16" t="s">
        <v>11835</v>
      </c>
      <c r="F562" s="18">
        <v>527.74</v>
      </c>
      <c r="G562" s="18">
        <v>10.050000000000001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537.79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11836</v>
      </c>
      <c r="E563" s="16" t="s">
        <v>11837</v>
      </c>
      <c r="F563" s="18">
        <v>821893.13</v>
      </c>
      <c r="G563" s="18">
        <v>84533.62000000001</v>
      </c>
      <c r="H563" s="18">
        <v>47704.58</v>
      </c>
      <c r="I563" s="18">
        <v>0</v>
      </c>
      <c r="J563" s="18">
        <v>0</v>
      </c>
      <c r="K563" s="18">
        <v>0</v>
      </c>
      <c r="L563" s="18">
        <v>0</v>
      </c>
      <c r="M563" s="20">
        <v>858722.16999999993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11838</v>
      </c>
      <c r="E564" s="16" t="s">
        <v>11839</v>
      </c>
      <c r="F564" s="18">
        <v>30070.600000000002</v>
      </c>
      <c r="G564" s="18">
        <v>26.14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30096.739999999998</v>
      </c>
      <c r="N564" s="20"/>
      <c r="O564" s="19"/>
    </row>
    <row r="565" spans="1:15" s="16" customFormat="1" x14ac:dyDescent="0.25">
      <c r="A565" s="16" t="s">
        <v>51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11840</v>
      </c>
      <c r="E565" s="16" t="s">
        <v>11841</v>
      </c>
      <c r="F565" s="18">
        <v>294569.32</v>
      </c>
      <c r="G565" s="18">
        <v>23380.09</v>
      </c>
      <c r="H565" s="18">
        <v>10150.41</v>
      </c>
      <c r="I565" s="18">
        <v>0</v>
      </c>
      <c r="J565" s="18">
        <v>10071.67</v>
      </c>
      <c r="K565" s="18">
        <v>0</v>
      </c>
      <c r="L565" s="18">
        <v>0</v>
      </c>
      <c r="M565" s="20">
        <v>297727.33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11842</v>
      </c>
      <c r="E566" s="16" t="s">
        <v>11843</v>
      </c>
      <c r="F566" s="18">
        <v>121307.94000000002</v>
      </c>
      <c r="G566" s="18">
        <v>8250</v>
      </c>
      <c r="H566" s="18">
        <v>0</v>
      </c>
      <c r="I566" s="18">
        <v>0</v>
      </c>
      <c r="J566" s="18">
        <v>7653.3099999999995</v>
      </c>
      <c r="K566" s="18">
        <v>0</v>
      </c>
      <c r="L566" s="18">
        <v>0</v>
      </c>
      <c r="M566" s="20">
        <v>121904.63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11844</v>
      </c>
      <c r="E567" s="16" t="s">
        <v>11845</v>
      </c>
      <c r="F567" s="18">
        <v>22.34</v>
      </c>
      <c r="G567" s="18">
        <v>11.43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33.769999999999996</v>
      </c>
      <c r="N567" s="20"/>
      <c r="O567" s="19"/>
    </row>
    <row r="568" spans="1:15" s="16" customFormat="1" x14ac:dyDescent="0.25">
      <c r="A568" s="16" t="s">
        <v>51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11846</v>
      </c>
      <c r="E568" s="16" t="s">
        <v>11847</v>
      </c>
      <c r="F568" s="18">
        <v>111268.48</v>
      </c>
      <c r="G568" s="18">
        <v>1921.42</v>
      </c>
      <c r="H568" s="18">
        <v>5822.89</v>
      </c>
      <c r="I568" s="18">
        <v>0</v>
      </c>
      <c r="J568" s="18">
        <v>4242.5</v>
      </c>
      <c r="K568" s="18">
        <v>0</v>
      </c>
      <c r="L568" s="18">
        <v>43.48</v>
      </c>
      <c r="M568" s="20">
        <v>103081.03</v>
      </c>
      <c r="N568" s="20"/>
      <c r="O568" s="19"/>
    </row>
    <row r="569" spans="1:15" s="16" customFormat="1" hidden="1" x14ac:dyDescent="0.25">
      <c r="A569" s="16" t="s">
        <v>51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11848</v>
      </c>
      <c r="E569" s="16" t="s">
        <v>11849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11850</v>
      </c>
      <c r="E570" s="16" t="s">
        <v>11851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11852</v>
      </c>
      <c r="E571" s="16" t="s">
        <v>11853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11854</v>
      </c>
      <c r="E572" s="16" t="s">
        <v>11855</v>
      </c>
      <c r="F572" s="18">
        <v>7263.1299999999992</v>
      </c>
      <c r="G572" s="18">
        <v>6.32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7269.45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11856</v>
      </c>
      <c r="E573" s="16" t="s">
        <v>11857</v>
      </c>
      <c r="F573" s="18">
        <v>186763.66999999998</v>
      </c>
      <c r="G573" s="18">
        <v>162.31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186925.97999999998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11858</v>
      </c>
      <c r="E574" s="16" t="s">
        <v>11859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11860</v>
      </c>
      <c r="E575" s="16" t="s">
        <v>11861</v>
      </c>
      <c r="F575" s="18">
        <v>2980897.48</v>
      </c>
      <c r="G575" s="18">
        <v>5495.5</v>
      </c>
      <c r="H575" s="18">
        <v>587.02</v>
      </c>
      <c r="I575" s="18">
        <v>375159</v>
      </c>
      <c r="J575" s="18">
        <v>349.15000000000003</v>
      </c>
      <c r="K575" s="18">
        <v>0</v>
      </c>
      <c r="L575" s="18">
        <v>0</v>
      </c>
      <c r="M575" s="20">
        <v>3360615.8099999996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11862</v>
      </c>
      <c r="E576" s="16" t="s">
        <v>11863</v>
      </c>
      <c r="F576" s="18">
        <v>2699204.9699999997</v>
      </c>
      <c r="G576" s="18">
        <v>1899.9999999999998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2701104.97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11864</v>
      </c>
      <c r="E577" s="16" t="s">
        <v>11865</v>
      </c>
      <c r="F577" s="18">
        <v>138422.34</v>
      </c>
      <c r="G577" s="18">
        <v>112.57</v>
      </c>
      <c r="H577" s="18">
        <v>4441</v>
      </c>
      <c r="I577" s="18">
        <v>0</v>
      </c>
      <c r="J577" s="18">
        <v>2070.09</v>
      </c>
      <c r="K577" s="18">
        <v>0</v>
      </c>
      <c r="L577" s="18">
        <v>108.46000000000001</v>
      </c>
      <c r="M577" s="20">
        <v>131915.35999999999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11866</v>
      </c>
      <c r="E578" s="16" t="s">
        <v>11867</v>
      </c>
      <c r="F578" s="18">
        <v>98088.680000000008</v>
      </c>
      <c r="G578" s="18">
        <v>1075</v>
      </c>
      <c r="H578" s="18">
        <v>0</v>
      </c>
      <c r="I578" s="18">
        <v>0</v>
      </c>
      <c r="J578" s="18">
        <v>2023.57</v>
      </c>
      <c r="K578" s="18">
        <v>0</v>
      </c>
      <c r="L578" s="18">
        <v>0</v>
      </c>
      <c r="M578" s="20">
        <v>97140.110000000015</v>
      </c>
      <c r="N578" s="20"/>
      <c r="O578" s="19"/>
    </row>
    <row r="579" spans="1:15" s="16" customFormat="1" x14ac:dyDescent="0.25">
      <c r="A579" s="16" t="s">
        <v>51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11868</v>
      </c>
      <c r="E579" s="16" t="s">
        <v>11869</v>
      </c>
      <c r="F579" s="18">
        <v>271695.5</v>
      </c>
      <c r="G579" s="18">
        <v>2832.94</v>
      </c>
      <c r="H579" s="18">
        <v>2500</v>
      </c>
      <c r="I579" s="18">
        <v>0</v>
      </c>
      <c r="J579" s="18">
        <v>419.99999999999994</v>
      </c>
      <c r="K579" s="18">
        <v>0</v>
      </c>
      <c r="L579" s="18">
        <v>0</v>
      </c>
      <c r="M579" s="20">
        <v>271608.44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11870</v>
      </c>
      <c r="E580" s="16" t="s">
        <v>11871</v>
      </c>
      <c r="F580" s="18">
        <v>388.36999999999995</v>
      </c>
      <c r="G580" s="18">
        <v>94.49</v>
      </c>
      <c r="H580" s="18">
        <v>0</v>
      </c>
      <c r="I580" s="18">
        <v>146955</v>
      </c>
      <c r="J580" s="18">
        <v>0</v>
      </c>
      <c r="K580" s="18">
        <v>0</v>
      </c>
      <c r="L580" s="18">
        <v>0</v>
      </c>
      <c r="M580" s="20">
        <v>147437.86000000002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11872</v>
      </c>
      <c r="E581" s="16" t="s">
        <v>11873</v>
      </c>
      <c r="F581" s="18">
        <v>15520.820000000002</v>
      </c>
      <c r="G581" s="18">
        <v>0</v>
      </c>
      <c r="H581" s="18">
        <v>856.93999999999994</v>
      </c>
      <c r="I581" s="18">
        <v>0</v>
      </c>
      <c r="J581" s="18">
        <v>527.01</v>
      </c>
      <c r="K581" s="18">
        <v>0</v>
      </c>
      <c r="L581" s="18">
        <v>0</v>
      </c>
      <c r="M581" s="20">
        <v>14136.87</v>
      </c>
      <c r="N581" s="20"/>
      <c r="O581" s="19"/>
    </row>
    <row r="582" spans="1:15" s="16" customFormat="1" x14ac:dyDescent="0.25">
      <c r="A582" s="16" t="s">
        <v>51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11874</v>
      </c>
      <c r="E582" s="16" t="s">
        <v>11875</v>
      </c>
      <c r="F582" s="18">
        <v>457568.93</v>
      </c>
      <c r="G582" s="18">
        <v>39380.080000000002</v>
      </c>
      <c r="H582" s="18">
        <v>9218.75</v>
      </c>
      <c r="I582" s="18">
        <v>743</v>
      </c>
      <c r="J582" s="18">
        <v>5512.73</v>
      </c>
      <c r="K582" s="18">
        <v>0</v>
      </c>
      <c r="L582" s="18">
        <v>233.20000000000002</v>
      </c>
      <c r="M582" s="20">
        <v>482727.33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11876</v>
      </c>
      <c r="E583" s="16" t="s">
        <v>11877</v>
      </c>
      <c r="F583" s="18">
        <v>58695.14</v>
      </c>
      <c r="G583" s="18">
        <v>300</v>
      </c>
      <c r="H583" s="18">
        <v>1.7</v>
      </c>
      <c r="I583" s="18">
        <v>0</v>
      </c>
      <c r="J583" s="18">
        <v>0</v>
      </c>
      <c r="K583" s="18">
        <v>0</v>
      </c>
      <c r="L583" s="18">
        <v>0</v>
      </c>
      <c r="M583" s="20">
        <v>58993.439999999995</v>
      </c>
      <c r="N583" s="20"/>
      <c r="O583" s="19"/>
    </row>
    <row r="584" spans="1:15" s="16" customFormat="1" hidden="1" x14ac:dyDescent="0.25">
      <c r="A584" s="16" t="s">
        <v>51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11878</v>
      </c>
      <c r="E584" s="16" t="s">
        <v>11879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11880</v>
      </c>
      <c r="E585" s="16" t="s">
        <v>11881</v>
      </c>
      <c r="F585" s="18">
        <v>213576.38999999998</v>
      </c>
      <c r="G585" s="18">
        <v>3808.38</v>
      </c>
      <c r="H585" s="18">
        <v>5227.16</v>
      </c>
      <c r="I585" s="18">
        <v>0</v>
      </c>
      <c r="J585" s="18">
        <v>4132.82</v>
      </c>
      <c r="K585" s="18">
        <v>0</v>
      </c>
      <c r="L585" s="18">
        <v>0</v>
      </c>
      <c r="M585" s="20">
        <v>208024.78999999998</v>
      </c>
      <c r="N585" s="20"/>
      <c r="O585" s="19"/>
    </row>
    <row r="586" spans="1:15" s="16" customFormat="1" x14ac:dyDescent="0.25">
      <c r="A586" s="16" t="s">
        <v>51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11882</v>
      </c>
      <c r="E586" s="16" t="s">
        <v>11883</v>
      </c>
      <c r="F586" s="18">
        <v>6376554.7699999996</v>
      </c>
      <c r="G586" s="18">
        <v>103580.90999999999</v>
      </c>
      <c r="H586" s="18">
        <v>54694.53</v>
      </c>
      <c r="I586" s="18">
        <v>0</v>
      </c>
      <c r="J586" s="18">
        <v>4025148.37</v>
      </c>
      <c r="K586" s="18">
        <v>0</v>
      </c>
      <c r="L586" s="18">
        <v>0</v>
      </c>
      <c r="M586" s="20">
        <v>2400292.7799999998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11884</v>
      </c>
      <c r="E587" s="16" t="s">
        <v>11885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11886</v>
      </c>
      <c r="E588" s="16" t="s">
        <v>11887</v>
      </c>
      <c r="F588" s="18">
        <v>62996.62</v>
      </c>
      <c r="G588" s="18">
        <v>550</v>
      </c>
      <c r="H588" s="18">
        <v>10992</v>
      </c>
      <c r="I588" s="18">
        <v>0</v>
      </c>
      <c r="J588" s="18">
        <v>0</v>
      </c>
      <c r="K588" s="18">
        <v>70</v>
      </c>
      <c r="L588" s="18">
        <v>0</v>
      </c>
      <c r="M588" s="20">
        <v>52624.619999999995</v>
      </c>
      <c r="N588" s="20"/>
      <c r="O588" s="19"/>
    </row>
    <row r="589" spans="1:15" s="16" customFormat="1" hidden="1" x14ac:dyDescent="0.25">
      <c r="A589" s="16" t="s">
        <v>51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11888</v>
      </c>
      <c r="E589" s="16" t="s">
        <v>11889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11890</v>
      </c>
      <c r="E590" s="16" t="s">
        <v>11891</v>
      </c>
      <c r="F590" s="18">
        <v>292320.44999999995</v>
      </c>
      <c r="G590" s="18">
        <v>48540</v>
      </c>
      <c r="H590" s="18">
        <v>0</v>
      </c>
      <c r="I590" s="18">
        <v>0</v>
      </c>
      <c r="J590" s="18">
        <v>10461.1</v>
      </c>
      <c r="K590" s="18">
        <v>0</v>
      </c>
      <c r="L590" s="18">
        <v>0</v>
      </c>
      <c r="M590" s="20">
        <v>330399.34999999998</v>
      </c>
      <c r="N590" s="20"/>
      <c r="O590" s="19"/>
    </row>
    <row r="591" spans="1:15" s="16" customFormat="1" x14ac:dyDescent="0.25">
      <c r="A591" s="16" t="s">
        <v>51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11892</v>
      </c>
      <c r="E591" s="16" t="s">
        <v>11893</v>
      </c>
      <c r="F591" s="18">
        <v>535089.16999999993</v>
      </c>
      <c r="G591" s="18">
        <v>465.02000000000004</v>
      </c>
      <c r="H591" s="18">
        <v>0</v>
      </c>
      <c r="I591" s="18">
        <v>0</v>
      </c>
      <c r="J591" s="18">
        <v>25</v>
      </c>
      <c r="K591" s="18">
        <v>0</v>
      </c>
      <c r="L591" s="18">
        <v>0</v>
      </c>
      <c r="M591" s="20">
        <v>535529.18999999994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11894</v>
      </c>
      <c r="E592" s="16" t="s">
        <v>11895</v>
      </c>
      <c r="F592" s="18">
        <v>3987.54</v>
      </c>
      <c r="G592" s="18">
        <v>5.13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3992.67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11896</v>
      </c>
      <c r="E593" s="16" t="s">
        <v>11897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11898</v>
      </c>
      <c r="E594" s="16" t="s">
        <v>11899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11900</v>
      </c>
      <c r="E595" s="16" t="s">
        <v>11901</v>
      </c>
      <c r="F595" s="18">
        <v>1251763.1399999999</v>
      </c>
      <c r="G595" s="18">
        <v>8327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1260090.1399999999</v>
      </c>
      <c r="N595" s="20"/>
      <c r="O595" s="19"/>
    </row>
    <row r="596" spans="1:15" s="16" customFormat="1" x14ac:dyDescent="0.25">
      <c r="A596" s="16" t="s">
        <v>51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11902</v>
      </c>
      <c r="E596" s="16" t="s">
        <v>11903</v>
      </c>
      <c r="F596" s="18">
        <v>3514701.5100000002</v>
      </c>
      <c r="G596" s="18">
        <v>226842.74000000002</v>
      </c>
      <c r="H596" s="18">
        <v>0</v>
      </c>
      <c r="I596" s="18">
        <v>0</v>
      </c>
      <c r="J596" s="18">
        <v>233.99999999999997</v>
      </c>
      <c r="K596" s="18">
        <v>0</v>
      </c>
      <c r="L596" s="18">
        <v>0</v>
      </c>
      <c r="M596" s="20">
        <v>3741310.2499999995</v>
      </c>
      <c r="N596" s="20"/>
      <c r="O596" s="19"/>
    </row>
    <row r="597" spans="1:15" s="16" customFormat="1" x14ac:dyDescent="0.25">
      <c r="A597" s="16" t="s">
        <v>51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11904</v>
      </c>
      <c r="E597" s="16" t="s">
        <v>11905</v>
      </c>
      <c r="F597" s="18">
        <v>798769.1</v>
      </c>
      <c r="G597" s="18">
        <v>52830</v>
      </c>
      <c r="H597" s="18">
        <v>25000.000000000004</v>
      </c>
      <c r="I597" s="18">
        <v>0</v>
      </c>
      <c r="J597" s="18">
        <v>2342</v>
      </c>
      <c r="K597" s="18">
        <v>16680</v>
      </c>
      <c r="L597" s="18">
        <v>231106.63999999998</v>
      </c>
      <c r="M597" s="20">
        <v>609830.46</v>
      </c>
      <c r="N597" s="20"/>
      <c r="O597" s="19"/>
    </row>
    <row r="598" spans="1:15" s="16" customFormat="1" hidden="1" x14ac:dyDescent="0.25">
      <c r="A598" s="16" t="s">
        <v>51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11906</v>
      </c>
      <c r="E598" s="16" t="s">
        <v>11907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11908</v>
      </c>
      <c r="E599" s="16" t="s">
        <v>11909</v>
      </c>
      <c r="F599" s="18">
        <v>85029.099999999991</v>
      </c>
      <c r="G599" s="18">
        <v>13629.859999999999</v>
      </c>
      <c r="H599" s="18">
        <v>9347.1</v>
      </c>
      <c r="I599" s="18">
        <v>0</v>
      </c>
      <c r="J599" s="18">
        <v>55086.899999999994</v>
      </c>
      <c r="K599" s="18">
        <v>0</v>
      </c>
      <c r="L599" s="18">
        <v>0</v>
      </c>
      <c r="M599" s="20">
        <v>34224.959999999999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11910</v>
      </c>
      <c r="E600" s="16" t="s">
        <v>11911</v>
      </c>
      <c r="F600" s="18">
        <v>212204.91999999998</v>
      </c>
      <c r="G600" s="18">
        <v>1549.9999999999998</v>
      </c>
      <c r="H600" s="18">
        <v>0</v>
      </c>
      <c r="I600" s="18">
        <v>0</v>
      </c>
      <c r="J600" s="18">
        <v>8095.73</v>
      </c>
      <c r="K600" s="18">
        <v>0</v>
      </c>
      <c r="L600" s="18">
        <v>0</v>
      </c>
      <c r="M600" s="20">
        <v>205659.19</v>
      </c>
      <c r="N600" s="20"/>
      <c r="O600" s="19"/>
    </row>
    <row r="601" spans="1:15" s="16" customFormat="1" hidden="1" x14ac:dyDescent="0.25">
      <c r="A601" s="16" t="s">
        <v>51</v>
      </c>
      <c r="B601" s="16" t="str">
        <f t="shared" si="9"/>
        <v>hide</v>
      </c>
      <c r="C601" s="17" t="str">
        <f>"""MO State Treasurer"",""MO State Treasurers Office"",""37001020"",""1"",""0846A"""</f>
        <v>"MO State Treasurer","MO State Treasurers Office","37001020","1","0846A"</v>
      </c>
      <c r="D601" s="16" t="s">
        <v>11912</v>
      </c>
      <c r="E601" s="16" t="s">
        <v>11913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51</v>
      </c>
      <c r="B602" s="16" t="str">
        <f t="shared" si="9"/>
        <v>show</v>
      </c>
      <c r="C602" s="17" t="str">
        <f>"""MO State Treasurer"",""MO State Treasurers Office"",""37001020"",""1"",""0847"""</f>
        <v>"MO State Treasurer","MO State Treasurers Office","37001020","1","0847"</v>
      </c>
      <c r="D602" s="16" t="s">
        <v>11914</v>
      </c>
      <c r="E602" s="16" t="s">
        <v>11915</v>
      </c>
      <c r="F602" s="18">
        <v>951125.61999999988</v>
      </c>
      <c r="G602" s="18">
        <v>0</v>
      </c>
      <c r="H602" s="18">
        <v>37225.079999999994</v>
      </c>
      <c r="I602" s="18">
        <v>234141</v>
      </c>
      <c r="J602" s="18">
        <v>15963.99</v>
      </c>
      <c r="K602" s="18">
        <v>0</v>
      </c>
      <c r="L602" s="18">
        <v>0</v>
      </c>
      <c r="M602" s="20">
        <v>1132077.5499999998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Office"",""37001020"",""1"",""0848"""</f>
        <v>"MO State Treasurer","MO State Treasurers Office","37001020","1","0848"</v>
      </c>
      <c r="D603" s="16" t="s">
        <v>11916</v>
      </c>
      <c r="E603" s="16" t="s">
        <v>11917</v>
      </c>
      <c r="F603" s="18">
        <v>0</v>
      </c>
      <c r="G603" s="18">
        <v>0</v>
      </c>
      <c r="H603" s="18">
        <v>70709.290000000008</v>
      </c>
      <c r="I603" s="18">
        <v>70709.290000000008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hidden="1" x14ac:dyDescent="0.25">
      <c r="A604" s="16" t="s">
        <v>51</v>
      </c>
      <c r="B604" s="16" t="str">
        <f t="shared" si="9"/>
        <v>hide</v>
      </c>
      <c r="C604" s="17" t="str">
        <f>"""MO State Treasurer"",""MO State Treasurers Office"",""37001020"",""1"",""0849A"""</f>
        <v>"MO State Treasurer","MO State Treasurers Office","37001020","1","0849A"</v>
      </c>
      <c r="D604" s="16" t="s">
        <v>11918</v>
      </c>
      <c r="E604" s="16" t="s">
        <v>11919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tr">
        <f t="shared" si="9"/>
        <v>hide</v>
      </c>
      <c r="C605" s="17" t="str">
        <f>"""MO State Treasurer"",""MO State Treasurers Office"",""37001020"",""1"",""0850A"""</f>
        <v>"MO State Treasurer","MO State Treasurers Office","37001020","1","0850A"</v>
      </c>
      <c r="D605" s="16" t="s">
        <v>11920</v>
      </c>
      <c r="E605" s="16" t="s">
        <v>11921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tr">
        <f t="shared" si="9"/>
        <v>hide</v>
      </c>
      <c r="C606" s="17" t="str">
        <f>"""MO State Treasurer"",""MO State Treasurers Office"",""37001020"",""1"",""0851"""</f>
        <v>"MO State Treasurer","MO State Treasurers Office","37001020","1","0851"</v>
      </c>
      <c r="D606" s="16" t="s">
        <v>11922</v>
      </c>
      <c r="E606" s="16" t="s">
        <v>11923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51</v>
      </c>
      <c r="B607" s="16" t="str">
        <f t="shared" si="9"/>
        <v>show</v>
      </c>
      <c r="C607" s="17" t="str">
        <f>"""MO State Treasurer"",""MO State Treasurers Office"",""37001020"",""1"",""0852"""</f>
        <v>"MO State Treasurer","MO State Treasurers Office","37001020","1","0852"</v>
      </c>
      <c r="D607" s="16" t="s">
        <v>11924</v>
      </c>
      <c r="E607" s="16" t="s">
        <v>11925</v>
      </c>
      <c r="F607" s="18">
        <v>233353.90999999997</v>
      </c>
      <c r="G607" s="18">
        <v>14798.03</v>
      </c>
      <c r="H607" s="18">
        <v>565</v>
      </c>
      <c r="I607" s="18">
        <v>0</v>
      </c>
      <c r="J607" s="18">
        <v>541</v>
      </c>
      <c r="K607" s="18">
        <v>0</v>
      </c>
      <c r="L607" s="18">
        <v>0</v>
      </c>
      <c r="M607" s="20">
        <v>247045.94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Office"",""37001020"",""1"",""0853"""</f>
        <v>"MO State Treasurer","MO State Treasurers Office","37001020","1","0853"</v>
      </c>
      <c r="D608" s="16" t="s">
        <v>11926</v>
      </c>
      <c r="E608" s="16" t="s">
        <v>11927</v>
      </c>
      <c r="F608" s="18">
        <v>138593.59</v>
      </c>
      <c r="G608" s="18">
        <v>145.35</v>
      </c>
      <c r="H608" s="18">
        <v>499.99999999999994</v>
      </c>
      <c r="I608" s="18">
        <v>0</v>
      </c>
      <c r="J608" s="18">
        <v>115.00000000000001</v>
      </c>
      <c r="K608" s="18">
        <v>0</v>
      </c>
      <c r="L608" s="18">
        <v>0</v>
      </c>
      <c r="M608" s="20">
        <v>138123.94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Office"",""37001020"",""1"",""0855"""</f>
        <v>"MO State Treasurer","MO State Treasurers Office","37001020","1","0855"</v>
      </c>
      <c r="D609" s="16" t="s">
        <v>11928</v>
      </c>
      <c r="E609" s="16" t="s">
        <v>11929</v>
      </c>
      <c r="F609" s="18">
        <v>0</v>
      </c>
      <c r="G609" s="18">
        <v>34.979999999999997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34.979999999999997</v>
      </c>
      <c r="N609" s="20"/>
      <c r="O609" s="19"/>
    </row>
    <row r="610" spans="1:15" s="16" customFormat="1" hidden="1" x14ac:dyDescent="0.25">
      <c r="A610" s="16" t="s">
        <v>51</v>
      </c>
      <c r="B610" s="16" t="str">
        <f t="shared" si="9"/>
        <v>hide</v>
      </c>
      <c r="C610" s="17" t="str">
        <f>"""MO State Treasurer"",""MO State Treasurers Office"",""37001020"",""1"",""0856"""</f>
        <v>"MO State Treasurer","MO State Treasurers Office","37001020","1","0856"</v>
      </c>
      <c r="D610" s="16" t="s">
        <v>11930</v>
      </c>
      <c r="E610" s="16" t="s">
        <v>11931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0</v>
      </c>
      <c r="N610" s="20"/>
      <c r="O610" s="19"/>
    </row>
    <row r="611" spans="1:15" s="16" customFormat="1" x14ac:dyDescent="0.25">
      <c r="A611" s="16" t="s">
        <v>51</v>
      </c>
      <c r="B611" s="16" t="str">
        <f t="shared" si="9"/>
        <v>show</v>
      </c>
      <c r="C611" s="17" t="str">
        <f>"""MO State Treasurer"",""MO State Treasurers Office"",""37001020"",""1"",""0857"""</f>
        <v>"MO State Treasurer","MO State Treasurers Office","37001020","1","0857"</v>
      </c>
      <c r="D611" s="16" t="s">
        <v>11932</v>
      </c>
      <c r="E611" s="16" t="s">
        <v>11933</v>
      </c>
      <c r="F611" s="18">
        <v>148330.96</v>
      </c>
      <c r="G611" s="18">
        <v>2450</v>
      </c>
      <c r="H611" s="18">
        <v>0</v>
      </c>
      <c r="I611" s="18">
        <v>0</v>
      </c>
      <c r="J611" s="18">
        <v>3099.2000000000003</v>
      </c>
      <c r="K611" s="18">
        <v>0</v>
      </c>
      <c r="L611" s="18">
        <v>0</v>
      </c>
      <c r="M611" s="20">
        <v>147681.76</v>
      </c>
      <c r="N611" s="20"/>
      <c r="O611" s="19"/>
    </row>
    <row r="612" spans="1:15" s="16" customFormat="1" hidden="1" x14ac:dyDescent="0.25">
      <c r="A612" s="16" t="s">
        <v>51</v>
      </c>
      <c r="B612" s="16" t="str">
        <f t="shared" si="9"/>
        <v>hide</v>
      </c>
      <c r="C612" s="17" t="str">
        <f>"""MO State Treasurer"",""MO State Treasurers Office"",""37001020"",""1"",""0858A"""</f>
        <v>"MO State Treasurer","MO State Treasurers Office","37001020","1","0858A"</v>
      </c>
      <c r="D612" s="16" t="s">
        <v>11934</v>
      </c>
      <c r="E612" s="16" t="s">
        <v>11935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51</v>
      </c>
      <c r="B613" s="16" t="str">
        <f t="shared" si="9"/>
        <v>show</v>
      </c>
      <c r="C613" s="17" t="str">
        <f>"""MO State Treasurer"",""MO State Treasurers Office"",""37001020"",""1"",""0859"""</f>
        <v>"MO State Treasurer","MO State Treasurers Office","37001020","1","0859"</v>
      </c>
      <c r="D613" s="16" t="s">
        <v>11936</v>
      </c>
      <c r="E613" s="16" t="s">
        <v>11937</v>
      </c>
      <c r="F613" s="18">
        <v>1982563.04</v>
      </c>
      <c r="G613" s="18">
        <v>5897.78</v>
      </c>
      <c r="H613" s="18">
        <v>503.64</v>
      </c>
      <c r="I613" s="18">
        <v>0</v>
      </c>
      <c r="J613" s="18">
        <v>0</v>
      </c>
      <c r="K613" s="18">
        <v>0</v>
      </c>
      <c r="L613" s="18">
        <v>42.32</v>
      </c>
      <c r="M613" s="20">
        <v>1987914.86</v>
      </c>
      <c r="N613" s="20"/>
      <c r="O613" s="19"/>
    </row>
    <row r="614" spans="1:15" s="16" customFormat="1" x14ac:dyDescent="0.25">
      <c r="A614" s="16" t="s">
        <v>51</v>
      </c>
      <c r="B614" s="16" t="str">
        <f t="shared" si="9"/>
        <v>show</v>
      </c>
      <c r="C614" s="17" t="str">
        <f>"""MO State Treasurer"",""MO State Treasurers Office"",""37001020"",""1"",""0860"""</f>
        <v>"MO State Treasurer","MO State Treasurers Office","37001020","1","0860"</v>
      </c>
      <c r="D614" s="16" t="s">
        <v>11938</v>
      </c>
      <c r="E614" s="16" t="s">
        <v>11939</v>
      </c>
      <c r="F614" s="18">
        <v>686389.76000000001</v>
      </c>
      <c r="G614" s="18">
        <v>0</v>
      </c>
      <c r="H614" s="18">
        <v>32008.660000000003</v>
      </c>
      <c r="I614" s="18">
        <v>0</v>
      </c>
      <c r="J614" s="18">
        <v>9015.09</v>
      </c>
      <c r="K614" s="18">
        <v>38225.919999999998</v>
      </c>
      <c r="L614" s="18">
        <v>0.28999999999999998</v>
      </c>
      <c r="M614" s="20">
        <v>683591.64</v>
      </c>
      <c r="N614" s="20"/>
      <c r="O614" s="19"/>
    </row>
    <row r="615" spans="1:15" s="16" customFormat="1" hidden="1" x14ac:dyDescent="0.25">
      <c r="A615" s="16" t="s">
        <v>51</v>
      </c>
      <c r="B615" s="16" t="str">
        <f t="shared" si="9"/>
        <v>hide</v>
      </c>
      <c r="C615" s="17" t="str">
        <f>"""MO State Treasurer"",""MO State Treasurers Office"",""37001020"",""1"",""0861"""</f>
        <v>"MO State Treasurer","MO State Treasurers Office","37001020","1","0861"</v>
      </c>
      <c r="D615" s="16" t="s">
        <v>11940</v>
      </c>
      <c r="E615" s="16" t="s">
        <v>11941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Office"",""37001020"",""1"",""0862"""</f>
        <v>"MO State Treasurer","MO State Treasurers Office","37001020","1","0862"</v>
      </c>
      <c r="D616" s="16" t="s">
        <v>11942</v>
      </c>
      <c r="E616" s="16" t="s">
        <v>11943</v>
      </c>
      <c r="F616" s="18">
        <v>93613.19</v>
      </c>
      <c r="G616" s="18">
        <v>-93613.19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51</v>
      </c>
      <c r="B617" s="16" t="str">
        <f t="shared" si="9"/>
        <v>show</v>
      </c>
      <c r="C617" s="17" t="str">
        <f>"""MO State Treasurer"",""MO State Treasurers Office"",""37001020"",""1"",""0863"""</f>
        <v>"MO State Treasurer","MO State Treasurers Office","37001020","1","0863"</v>
      </c>
      <c r="D617" s="16" t="s">
        <v>11944</v>
      </c>
      <c r="E617" s="16" t="s">
        <v>11945</v>
      </c>
      <c r="F617" s="18">
        <v>26106720.580000002</v>
      </c>
      <c r="G617" s="18">
        <v>1693503.9600000002</v>
      </c>
      <c r="H617" s="18">
        <v>3664915.0300000003</v>
      </c>
      <c r="I617" s="18">
        <v>0</v>
      </c>
      <c r="J617" s="18">
        <v>28456.43</v>
      </c>
      <c r="K617" s="18">
        <v>0</v>
      </c>
      <c r="L617" s="18">
        <v>1966.67</v>
      </c>
      <c r="M617" s="20">
        <v>24104886.41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Office"",""37001020"",""1"",""0866"""</f>
        <v>"MO State Treasurer","MO State Treasurers Office","37001020","1","0866"</v>
      </c>
      <c r="D618" s="16" t="s">
        <v>11946</v>
      </c>
      <c r="E618" s="16" t="s">
        <v>11947</v>
      </c>
      <c r="F618" s="18">
        <v>43931.8</v>
      </c>
      <c r="G618" s="18">
        <v>0</v>
      </c>
      <c r="H618" s="18">
        <v>0</v>
      </c>
      <c r="I618" s="18">
        <v>0</v>
      </c>
      <c r="J618" s="18">
        <v>43931.8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x14ac:dyDescent="0.25">
      <c r="A619" s="16" t="s">
        <v>51</v>
      </c>
      <c r="B619" s="16" t="str">
        <f t="shared" si="9"/>
        <v>show</v>
      </c>
      <c r="C619" s="17" t="str">
        <f>"""MO State Treasurer"",""MO State Treasurers Office"",""37001020"",""1"",""0867"""</f>
        <v>"MO State Treasurer","MO State Treasurers Office","37001020","1","0867"</v>
      </c>
      <c r="D619" s="16" t="s">
        <v>11948</v>
      </c>
      <c r="E619" s="16" t="s">
        <v>11949</v>
      </c>
      <c r="F619" s="18">
        <v>833679.84</v>
      </c>
      <c r="G619" s="18">
        <v>25877.68</v>
      </c>
      <c r="H619" s="18">
        <v>4592.0999999999995</v>
      </c>
      <c r="I619" s="18">
        <v>0</v>
      </c>
      <c r="J619" s="18">
        <v>4076.4700000000003</v>
      </c>
      <c r="K619" s="18">
        <v>0</v>
      </c>
      <c r="L619" s="18">
        <v>0</v>
      </c>
      <c r="M619" s="20">
        <v>850888.95</v>
      </c>
      <c r="N619" s="20"/>
      <c r="O619" s="19"/>
    </row>
    <row r="620" spans="1:15" s="16" customFormat="1" hidden="1" x14ac:dyDescent="0.25">
      <c r="A620" s="16" t="s">
        <v>51</v>
      </c>
      <c r="B620" s="16" t="str">
        <f t="shared" si="9"/>
        <v>hide</v>
      </c>
      <c r="C620" s="17" t="str">
        <f>"""MO State Treasurer"",""MO State Treasurers Office"",""37001020"",""1"",""0870"""</f>
        <v>"MO State Treasurer","MO State Treasurers Office","37001020","1","0870"</v>
      </c>
      <c r="D620" s="16" t="s">
        <v>11950</v>
      </c>
      <c r="E620" s="16" t="s">
        <v>11951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51</v>
      </c>
      <c r="B621" s="16" t="str">
        <f t="shared" si="9"/>
        <v>show</v>
      </c>
      <c r="C621" s="17" t="str">
        <f>"""MO State Treasurer"",""MO State Treasurers Office"",""37001020"",""1"",""0872"""</f>
        <v>"MO State Treasurer","MO State Treasurers Office","37001020","1","0872"</v>
      </c>
      <c r="D621" s="16" t="s">
        <v>11952</v>
      </c>
      <c r="E621" s="16" t="s">
        <v>11953</v>
      </c>
      <c r="F621" s="18">
        <v>3848.6499999999996</v>
      </c>
      <c r="G621" s="18">
        <v>20850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24698.65</v>
      </c>
      <c r="N621" s="20"/>
      <c r="O621" s="19"/>
    </row>
    <row r="622" spans="1:15" s="16" customFormat="1" x14ac:dyDescent="0.25">
      <c r="A622" s="16" t="s">
        <v>51</v>
      </c>
      <c r="B622" s="16" t="str">
        <f t="shared" si="9"/>
        <v>show</v>
      </c>
      <c r="C622" s="17" t="str">
        <f>"""MO State Treasurer"",""MO State Treasurers Office"",""37001020"",""1"",""0873"""</f>
        <v>"MO State Treasurer","MO State Treasurers Office","37001020","1","0873"</v>
      </c>
      <c r="D622" s="16" t="s">
        <v>11954</v>
      </c>
      <c r="E622" s="16" t="s">
        <v>11955</v>
      </c>
      <c r="F622" s="18">
        <v>373949.19999999995</v>
      </c>
      <c r="G622" s="18">
        <v>331.21000000000004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374280.41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Office"",""37001020"",""1"",""0877"""</f>
        <v>"MO State Treasurer","MO State Treasurers Office","37001020","1","0877"</v>
      </c>
      <c r="D623" s="16" t="s">
        <v>11956</v>
      </c>
      <c r="E623" s="16" t="s">
        <v>11957</v>
      </c>
      <c r="F623" s="18">
        <v>24010.15</v>
      </c>
      <c r="G623" s="18">
        <v>2350</v>
      </c>
      <c r="H623" s="18">
        <v>0</v>
      </c>
      <c r="I623" s="18">
        <v>0</v>
      </c>
      <c r="J623" s="18">
        <v>281.05</v>
      </c>
      <c r="K623" s="18">
        <v>0</v>
      </c>
      <c r="L623" s="18">
        <v>0</v>
      </c>
      <c r="M623" s="20">
        <v>26079.1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Office"",""37001020"",""1"",""0878"""</f>
        <v>"MO State Treasurer","MO State Treasurers Office","37001020","1","0878"</v>
      </c>
      <c r="D624" s="16" t="s">
        <v>11958</v>
      </c>
      <c r="E624" s="16" t="s">
        <v>11959</v>
      </c>
      <c r="F624" s="18">
        <v>1033895.86</v>
      </c>
      <c r="G624" s="18">
        <v>899.68999999999994</v>
      </c>
      <c r="H624" s="18">
        <v>0</v>
      </c>
      <c r="I624" s="18">
        <v>0</v>
      </c>
      <c r="J624" s="18">
        <v>48</v>
      </c>
      <c r="K624" s="18">
        <v>0</v>
      </c>
      <c r="L624" s="18">
        <v>0</v>
      </c>
      <c r="M624" s="20">
        <v>1034747.5499999999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Office"",""37001020"",""1"",""0880"""</f>
        <v>"MO State Treasurer","MO State Treasurers Office","37001020","1","0880"</v>
      </c>
      <c r="D625" s="16" t="s">
        <v>11960</v>
      </c>
      <c r="E625" s="16" t="s">
        <v>11961</v>
      </c>
      <c r="F625" s="18">
        <v>7590299.2299999995</v>
      </c>
      <c r="G625" s="18">
        <v>245650.52</v>
      </c>
      <c r="H625" s="18">
        <v>52104.4</v>
      </c>
      <c r="I625" s="18">
        <v>0</v>
      </c>
      <c r="J625" s="18">
        <v>32246</v>
      </c>
      <c r="K625" s="18">
        <v>0</v>
      </c>
      <c r="L625" s="18">
        <v>719.04</v>
      </c>
      <c r="M625" s="20">
        <v>7750880.3099999996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Office"",""37001020"",""1"",""0881"""</f>
        <v>"MO State Treasurer","MO State Treasurers Office","37001020","1","0881"</v>
      </c>
      <c r="D626" s="16" t="s">
        <v>11962</v>
      </c>
      <c r="E626" s="16" t="s">
        <v>11963</v>
      </c>
      <c r="F626" s="18">
        <v>21994723.170000002</v>
      </c>
      <c r="G626" s="18">
        <v>2027320.2300000002</v>
      </c>
      <c r="H626" s="18">
        <v>1934019.95</v>
      </c>
      <c r="I626" s="18">
        <v>27206.76</v>
      </c>
      <c r="J626" s="18">
        <v>0</v>
      </c>
      <c r="K626" s="18">
        <v>0</v>
      </c>
      <c r="L626" s="18">
        <v>0</v>
      </c>
      <c r="M626" s="20">
        <v>22115230.210000001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Office"",""37001020"",""1"",""0882"""</f>
        <v>"MO State Treasurer","MO State Treasurers Office","37001020","1","0882"</v>
      </c>
      <c r="D627" s="16" t="s">
        <v>11964</v>
      </c>
      <c r="E627" s="16" t="s">
        <v>11965</v>
      </c>
      <c r="F627" s="18">
        <v>39651.369999999995</v>
      </c>
      <c r="G627" s="18">
        <v>0</v>
      </c>
      <c r="H627" s="18">
        <v>0</v>
      </c>
      <c r="I627" s="18">
        <v>0</v>
      </c>
      <c r="J627" s="18">
        <v>1030.17</v>
      </c>
      <c r="K627" s="18">
        <v>0</v>
      </c>
      <c r="L627" s="18">
        <v>0</v>
      </c>
      <c r="M627" s="20">
        <v>38621.200000000004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Office"",""37001020"",""1"",""0883"""</f>
        <v>"MO State Treasurer","MO State Treasurers Office","37001020","1","0883"</v>
      </c>
      <c r="D628" s="16" t="s">
        <v>11966</v>
      </c>
      <c r="E628" s="16" t="s">
        <v>11967</v>
      </c>
      <c r="F628" s="18">
        <v>211106.76</v>
      </c>
      <c r="G628" s="18">
        <v>7780</v>
      </c>
      <c r="H628" s="18">
        <v>0</v>
      </c>
      <c r="I628" s="18">
        <v>0</v>
      </c>
      <c r="J628" s="18">
        <v>11463.35</v>
      </c>
      <c r="K628" s="18">
        <v>0</v>
      </c>
      <c r="L628" s="18">
        <v>0</v>
      </c>
      <c r="M628" s="20">
        <v>207423.41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Office"",""37001020"",""1"",""0884"""</f>
        <v>"MO State Treasurer","MO State Treasurers Office","37001020","1","0884"</v>
      </c>
      <c r="D629" s="16" t="s">
        <v>11968</v>
      </c>
      <c r="E629" s="16" t="s">
        <v>11969</v>
      </c>
      <c r="F629" s="18">
        <v>612867.94000000006</v>
      </c>
      <c r="G629" s="18">
        <v>6549.9999999999991</v>
      </c>
      <c r="H629" s="18">
        <v>0</v>
      </c>
      <c r="I629" s="18">
        <v>0</v>
      </c>
      <c r="J629" s="18">
        <v>31849.489999999998</v>
      </c>
      <c r="K629" s="18">
        <v>0</v>
      </c>
      <c r="L629" s="18">
        <v>0</v>
      </c>
      <c r="M629" s="20">
        <v>587568.45000000007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Office"",""37001020"",""1"",""0885"""</f>
        <v>"MO State Treasurer","MO State Treasurers Office","37001020","1","0885"</v>
      </c>
      <c r="D630" s="16" t="s">
        <v>11970</v>
      </c>
      <c r="E630" s="16" t="s">
        <v>11971</v>
      </c>
      <c r="F630" s="18">
        <v>384021.69</v>
      </c>
      <c r="G630" s="18">
        <v>1134001.81</v>
      </c>
      <c r="H630" s="18">
        <v>262372.07999999996</v>
      </c>
      <c r="I630" s="18">
        <v>0</v>
      </c>
      <c r="J630" s="18">
        <v>32957</v>
      </c>
      <c r="K630" s="18">
        <v>0</v>
      </c>
      <c r="L630" s="18">
        <v>0</v>
      </c>
      <c r="M630" s="20">
        <v>1222694.42</v>
      </c>
      <c r="N630" s="20"/>
      <c r="O630" s="19"/>
    </row>
    <row r="631" spans="1:15" s="16" customFormat="1" hidden="1" x14ac:dyDescent="0.25">
      <c r="A631" s="16" t="s">
        <v>51</v>
      </c>
      <c r="B631" s="16" t="str">
        <f t="shared" si="9"/>
        <v>hide</v>
      </c>
      <c r="C631" s="17" t="str">
        <f>"""MO State Treasurer"",""MO State Treasurers Office"",""37001020"",""1"",""0886"""</f>
        <v>"MO State Treasurer","MO State Treasurers Office","37001020","1","0886"</v>
      </c>
      <c r="D631" s="16" t="s">
        <v>11972</v>
      </c>
      <c r="E631" s="16" t="s">
        <v>11973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x14ac:dyDescent="0.25">
      <c r="A632" s="16" t="s">
        <v>51</v>
      </c>
      <c r="B632" s="16" t="str">
        <f t="shared" si="9"/>
        <v>show</v>
      </c>
      <c r="C632" s="17" t="str">
        <f>"""MO State Treasurer"",""MO State Treasurers Office"",""37001020"",""1"",""0887"""</f>
        <v>"MO State Treasurer","MO State Treasurers Office","37001020","1","0887"</v>
      </c>
      <c r="D632" s="16" t="s">
        <v>11974</v>
      </c>
      <c r="E632" s="16" t="s">
        <v>11975</v>
      </c>
      <c r="F632" s="18">
        <v>0.03</v>
      </c>
      <c r="G632" s="18">
        <v>0</v>
      </c>
      <c r="H632" s="18">
        <v>0</v>
      </c>
      <c r="I632" s="18">
        <v>146955</v>
      </c>
      <c r="J632" s="18">
        <v>0</v>
      </c>
      <c r="K632" s="18">
        <v>0</v>
      </c>
      <c r="L632" s="18">
        <v>0</v>
      </c>
      <c r="M632" s="20">
        <v>146955.03</v>
      </c>
      <c r="N632" s="20"/>
      <c r="O632" s="19"/>
    </row>
    <row r="633" spans="1:15" s="16" customFormat="1" hidden="1" x14ac:dyDescent="0.25">
      <c r="A633" s="16" t="s">
        <v>51</v>
      </c>
      <c r="B633" s="16" t="str">
        <f t="shared" si="9"/>
        <v>hide</v>
      </c>
      <c r="C633" s="17" t="str">
        <f>"""MO State Treasurer"",""MO State Treasurers Office"",""37001020"",""1"",""0888"""</f>
        <v>"MO State Treasurer","MO State Treasurers Office","37001020","1","0888"</v>
      </c>
      <c r="D633" s="16" t="s">
        <v>11976</v>
      </c>
      <c r="E633" s="16" t="s">
        <v>11977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51</v>
      </c>
      <c r="B634" s="16" t="str">
        <f t="shared" si="9"/>
        <v>show</v>
      </c>
      <c r="C634" s="17" t="str">
        <f>"""MO State Treasurer"",""MO State Treasurers Office"",""37001020"",""1"",""0889"""</f>
        <v>"MO State Treasurer","MO State Treasurers Office","37001020","1","0889"</v>
      </c>
      <c r="D634" s="16" t="s">
        <v>11978</v>
      </c>
      <c r="E634" s="16" t="s">
        <v>11979</v>
      </c>
      <c r="F634" s="18">
        <v>2142362.1799999997</v>
      </c>
      <c r="G634" s="18">
        <v>27316.190000000002</v>
      </c>
      <c r="H634" s="18">
        <v>29300.54</v>
      </c>
      <c r="I634" s="18">
        <v>0</v>
      </c>
      <c r="J634" s="18">
        <v>1798.73</v>
      </c>
      <c r="K634" s="18">
        <v>0</v>
      </c>
      <c r="L634" s="18">
        <v>0</v>
      </c>
      <c r="M634" s="20">
        <v>2138579.1</v>
      </c>
      <c r="N634" s="20"/>
      <c r="O634" s="19"/>
    </row>
    <row r="635" spans="1:15" s="16" customFormat="1" hidden="1" x14ac:dyDescent="0.25">
      <c r="A635" s="16" t="s">
        <v>51</v>
      </c>
      <c r="B635" s="16" t="str">
        <f t="shared" si="9"/>
        <v>hide</v>
      </c>
      <c r="C635" s="17" t="str">
        <f>"""MO State Treasurer"",""MO State Treasurers Office"",""37001020"",""1"",""0890A"""</f>
        <v>"MO State Treasurer","MO State Treasurers Office","37001020","1","0890A"</v>
      </c>
      <c r="D635" s="16" t="s">
        <v>11980</v>
      </c>
      <c r="E635" s="16" t="s">
        <v>11981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hidden="1" x14ac:dyDescent="0.25">
      <c r="A636" s="16" t="s">
        <v>51</v>
      </c>
      <c r="B636" s="16" t="str">
        <f t="shared" si="9"/>
        <v>hide</v>
      </c>
      <c r="C636" s="17" t="str">
        <f>"""MO State Treasurer"",""MO State Treasurers Office"",""37001020"",""1"",""0891"""</f>
        <v>"MO State Treasurer","MO State Treasurers Office","37001020","1","0891"</v>
      </c>
      <c r="D636" s="16" t="s">
        <v>11982</v>
      </c>
      <c r="E636" s="16" t="s">
        <v>11983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51</v>
      </c>
      <c r="B637" s="16" t="str">
        <f t="shared" si="9"/>
        <v>show</v>
      </c>
      <c r="C637" s="17" t="str">
        <f>"""MO State Treasurer"",""MO State Treasurers Office"",""37001020"",""1"",""0892"""</f>
        <v>"MO State Treasurer","MO State Treasurers Office","37001020","1","0892"</v>
      </c>
      <c r="D637" s="16" t="s">
        <v>11984</v>
      </c>
      <c r="E637" s="16" t="s">
        <v>11985</v>
      </c>
      <c r="F637" s="18">
        <v>229702.62000000002</v>
      </c>
      <c r="G637" s="18">
        <v>27894.54</v>
      </c>
      <c r="H637" s="18">
        <v>15924.750000000002</v>
      </c>
      <c r="I637" s="18">
        <v>0</v>
      </c>
      <c r="J637" s="18">
        <v>0</v>
      </c>
      <c r="K637" s="18">
        <v>0</v>
      </c>
      <c r="L637" s="18">
        <v>0</v>
      </c>
      <c r="M637" s="20">
        <v>241672.41</v>
      </c>
      <c r="N637" s="20"/>
      <c r="O637" s="19"/>
    </row>
    <row r="638" spans="1:15" s="16" customFormat="1" x14ac:dyDescent="0.25">
      <c r="A638" s="16" t="s">
        <v>51</v>
      </c>
      <c r="B638" s="16" t="str">
        <f t="shared" si="9"/>
        <v>show</v>
      </c>
      <c r="C638" s="17" t="str">
        <f>"""MO State Treasurer"",""MO State Treasurers Office"",""37001020"",""1"",""0893"""</f>
        <v>"MO State Treasurer","MO State Treasurers Office","37001020","1","0893"</v>
      </c>
      <c r="D638" s="16" t="s">
        <v>11986</v>
      </c>
      <c r="E638" s="16" t="s">
        <v>11987</v>
      </c>
      <c r="F638" s="18">
        <v>103.38</v>
      </c>
      <c r="G638" s="18">
        <v>0.03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103.41000000000001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Office"",""37001020"",""1"",""0895"""</f>
        <v>"MO State Treasurer","MO State Treasurers Office","37001020","1","0895"</v>
      </c>
      <c r="D639" s="16" t="s">
        <v>11988</v>
      </c>
      <c r="E639" s="16" t="s">
        <v>11989</v>
      </c>
      <c r="F639" s="18">
        <v>105529.66</v>
      </c>
      <c r="G639" s="18">
        <v>114.87</v>
      </c>
      <c r="H639" s="18">
        <v>0</v>
      </c>
      <c r="I639" s="18">
        <v>143</v>
      </c>
      <c r="J639" s="18">
        <v>0</v>
      </c>
      <c r="K639" s="18">
        <v>0</v>
      </c>
      <c r="L639" s="18">
        <v>0</v>
      </c>
      <c r="M639" s="20">
        <v>105787.53000000001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Office"",""37001020"",""1"",""0897"""</f>
        <v>"MO State Treasurer","MO State Treasurers Office","37001020","1","0897"</v>
      </c>
      <c r="D640" s="16" t="s">
        <v>11990</v>
      </c>
      <c r="E640" s="16" t="s">
        <v>11991</v>
      </c>
      <c r="F640" s="18">
        <v>204760.33</v>
      </c>
      <c r="G640" s="18">
        <v>1578</v>
      </c>
      <c r="H640" s="18">
        <v>0</v>
      </c>
      <c r="I640" s="18">
        <v>0</v>
      </c>
      <c r="J640" s="18">
        <v>136</v>
      </c>
      <c r="K640" s="18">
        <v>0</v>
      </c>
      <c r="L640" s="18">
        <v>0</v>
      </c>
      <c r="M640" s="20">
        <v>206202.33</v>
      </c>
      <c r="N640" s="20"/>
      <c r="O640" s="19"/>
    </row>
    <row r="641" spans="1:15" s="16" customFormat="1" hidden="1" x14ac:dyDescent="0.25">
      <c r="A641" s="16" t="s">
        <v>51</v>
      </c>
      <c r="B641" s="16" t="str">
        <f t="shared" si="9"/>
        <v>hide</v>
      </c>
      <c r="C641" s="17" t="str">
        <f>"""MO State Treasurer"",""MO State Treasurers Office"",""37001020"",""1"",""0898"""</f>
        <v>"MO State Treasurer","MO State Treasurers Office","37001020","1","0898"</v>
      </c>
      <c r="D641" s="16" t="s">
        <v>11992</v>
      </c>
      <c r="E641" s="16" t="s">
        <v>11993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51</v>
      </c>
      <c r="B642" s="16" t="str">
        <f t="shared" si="9"/>
        <v>show</v>
      </c>
      <c r="C642" s="17" t="str">
        <f>"""MO State Treasurer"",""MO State Treasurers Office"",""37001020"",""1"",""0899"""</f>
        <v>"MO State Treasurer","MO State Treasurers Office","37001020","1","0899"</v>
      </c>
      <c r="D642" s="16" t="s">
        <v>11994</v>
      </c>
      <c r="E642" s="16" t="s">
        <v>11995</v>
      </c>
      <c r="F642" s="18">
        <v>60018.91</v>
      </c>
      <c r="G642" s="18">
        <v>1415.8</v>
      </c>
      <c r="H642" s="18">
        <v>62.739999999999995</v>
      </c>
      <c r="I642" s="18">
        <v>446</v>
      </c>
      <c r="J642" s="18">
        <v>56</v>
      </c>
      <c r="K642" s="18">
        <v>0</v>
      </c>
      <c r="L642" s="18">
        <v>0</v>
      </c>
      <c r="M642" s="20">
        <v>61761.97</v>
      </c>
      <c r="N642" s="20"/>
      <c r="O642" s="19"/>
    </row>
    <row r="643" spans="1:15" s="16" customFormat="1" x14ac:dyDescent="0.25">
      <c r="A643" s="16" t="s">
        <v>51</v>
      </c>
      <c r="B643" s="16" t="str">
        <f t="shared" si="9"/>
        <v>show</v>
      </c>
      <c r="C643" s="17" t="str">
        <f>"""MO State Treasurer"",""MO State Treasurers Office"",""37001020"",""1"",""0900"""</f>
        <v>"MO State Treasurer","MO State Treasurers Office","37001020","1","0900"</v>
      </c>
      <c r="D643" s="16" t="s">
        <v>11996</v>
      </c>
      <c r="E643" s="16" t="s">
        <v>11997</v>
      </c>
      <c r="F643" s="18">
        <v>3518662.33</v>
      </c>
      <c r="G643" s="18">
        <v>4513.12</v>
      </c>
      <c r="H643" s="18">
        <v>93511.24</v>
      </c>
      <c r="I643" s="18">
        <v>948</v>
      </c>
      <c r="J643" s="18">
        <v>44293.39</v>
      </c>
      <c r="K643" s="18">
        <v>0</v>
      </c>
      <c r="L643" s="18">
        <v>193.66</v>
      </c>
      <c r="M643" s="20">
        <v>3386125.1599999997</v>
      </c>
      <c r="N643" s="20"/>
      <c r="O643" s="19"/>
    </row>
    <row r="644" spans="1:15" s="16" customFormat="1" x14ac:dyDescent="0.25">
      <c r="A644" s="16" t="s">
        <v>51</v>
      </c>
      <c r="B644" s="16" t="str">
        <f t="shared" si="9"/>
        <v>show</v>
      </c>
      <c r="C644" s="17" t="str">
        <f>"""MO State Treasurer"",""MO State Treasurers Office"",""37001020"",""1"",""0901"""</f>
        <v>"MO State Treasurer","MO State Treasurers Office","37001020","1","0901"</v>
      </c>
      <c r="D644" s="16" t="s">
        <v>11998</v>
      </c>
      <c r="E644" s="16" t="s">
        <v>11999</v>
      </c>
      <c r="F644" s="18">
        <v>3972.65</v>
      </c>
      <c r="G644" s="18">
        <v>60.7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4033.35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Office"",""37001020"",""1"",""0904"""</f>
        <v>"MO State Treasurer","MO State Treasurers Office","37001020","1","0904"</v>
      </c>
      <c r="D645" s="16" t="s">
        <v>12000</v>
      </c>
      <c r="E645" s="16" t="s">
        <v>12001</v>
      </c>
      <c r="F645" s="18">
        <v>91454.17</v>
      </c>
      <c r="G645" s="18">
        <v>463.02</v>
      </c>
      <c r="H645" s="18">
        <v>4275.88</v>
      </c>
      <c r="I645" s="18">
        <v>0</v>
      </c>
      <c r="J645" s="18">
        <v>2732.65</v>
      </c>
      <c r="K645" s="18">
        <v>0</v>
      </c>
      <c r="L645" s="18">
        <v>0</v>
      </c>
      <c r="M645" s="20">
        <v>84908.66</v>
      </c>
      <c r="N645" s="20"/>
      <c r="O645" s="19"/>
    </row>
    <row r="646" spans="1:15" s="16" customFormat="1" x14ac:dyDescent="0.25">
      <c r="A646" s="16" t="s">
        <v>51</v>
      </c>
      <c r="B646" s="16" t="str">
        <f t="shared" si="9"/>
        <v>show</v>
      </c>
      <c r="C646" s="17" t="str">
        <f>"""MO State Treasurer"",""MO State Treasurers Office"",""37001020"",""1"",""0905"""</f>
        <v>"MO State Treasurer","MO State Treasurers Office","37001020","1","0905"</v>
      </c>
      <c r="D646" s="16" t="s">
        <v>12002</v>
      </c>
      <c r="E646" s="16" t="s">
        <v>12003</v>
      </c>
      <c r="F646" s="18">
        <v>7027723.7399999993</v>
      </c>
      <c r="G646" s="18">
        <v>-1056185.1399999999</v>
      </c>
      <c r="H646" s="18">
        <v>971576.72000000009</v>
      </c>
      <c r="I646" s="18">
        <v>0</v>
      </c>
      <c r="J646" s="18">
        <v>0</v>
      </c>
      <c r="K646" s="18">
        <v>0</v>
      </c>
      <c r="L646" s="18">
        <v>14281.73</v>
      </c>
      <c r="M646" s="20">
        <v>4985680.1500000004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Office"",""37001020"",""1"",""0906"""</f>
        <v>"MO State Treasurer","MO State Treasurers Office","37001020","1","0906"</v>
      </c>
      <c r="D647" s="16" t="s">
        <v>12004</v>
      </c>
      <c r="E647" s="16" t="s">
        <v>12005</v>
      </c>
      <c r="F647" s="18">
        <v>1183118.25</v>
      </c>
      <c r="G647" s="18">
        <v>91115.81</v>
      </c>
      <c r="H647" s="18">
        <v>34627.64</v>
      </c>
      <c r="I647" s="18">
        <v>48500</v>
      </c>
      <c r="J647" s="18">
        <v>25610.48</v>
      </c>
      <c r="K647" s="18">
        <v>0</v>
      </c>
      <c r="L647" s="18">
        <v>119.80000000000001</v>
      </c>
      <c r="M647" s="20">
        <v>1262376.1399999999</v>
      </c>
      <c r="N647" s="20"/>
      <c r="O647" s="19"/>
    </row>
    <row r="648" spans="1:15" s="16" customFormat="1" x14ac:dyDescent="0.25">
      <c r="A648" s="16" t="s">
        <v>51</v>
      </c>
      <c r="B648" s="16" t="str">
        <f t="shared" si="9"/>
        <v>show</v>
      </c>
      <c r="C648" s="17" t="str">
        <f>"""MO State Treasurer"",""MO State Treasurers Office"",""37001020"",""1"",""0907"""</f>
        <v>"MO State Treasurer","MO State Treasurers Office","37001020","1","0907"</v>
      </c>
      <c r="D648" s="16" t="s">
        <v>12006</v>
      </c>
      <c r="E648" s="16" t="s">
        <v>12007</v>
      </c>
      <c r="F648" s="18">
        <v>141.83000000000001</v>
      </c>
      <c r="G648" s="18">
        <v>1.92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143.75</v>
      </c>
      <c r="N648" s="20"/>
      <c r="O648" s="19"/>
    </row>
    <row r="649" spans="1:15" s="16" customFormat="1" hidden="1" x14ac:dyDescent="0.25">
      <c r="A649" s="16" t="s">
        <v>51</v>
      </c>
      <c r="B649" s="16" t="str">
        <f t="shared" si="9"/>
        <v>hide</v>
      </c>
      <c r="C649" s="17" t="str">
        <f>"""MO State Treasurer"",""MO State Treasurers Office"",""37001020"",""1"",""0908"""</f>
        <v>"MO State Treasurer","MO State Treasurers Office","37001020","1","0908"</v>
      </c>
      <c r="D649" s="16" t="s">
        <v>12008</v>
      </c>
      <c r="E649" s="16" t="s">
        <v>12009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x14ac:dyDescent="0.25">
      <c r="A650" s="16" t="s">
        <v>51</v>
      </c>
      <c r="B650" s="16" t="str">
        <f t="shared" si="9"/>
        <v>show</v>
      </c>
      <c r="C650" s="17" t="str">
        <f>"""MO State Treasurer"",""MO State Treasurers Office"",""37001020"",""1"",""0909"""</f>
        <v>"MO State Treasurer","MO State Treasurers Office","37001020","1","0909"</v>
      </c>
      <c r="D650" s="16" t="s">
        <v>12010</v>
      </c>
      <c r="E650" s="16" t="s">
        <v>12011</v>
      </c>
      <c r="F650" s="18">
        <v>47766.94</v>
      </c>
      <c r="G650" s="18">
        <v>41.510000000000005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47808.450000000004</v>
      </c>
      <c r="N650" s="20"/>
      <c r="O650" s="19"/>
    </row>
    <row r="651" spans="1:15" s="16" customFormat="1" x14ac:dyDescent="0.25">
      <c r="A651" s="16" t="s">
        <v>51</v>
      </c>
      <c r="B651" s="16" t="str">
        <f t="shared" si="9"/>
        <v>show</v>
      </c>
      <c r="C651" s="17" t="str">
        <f>"""MO State Treasurer"",""MO State Treasurers Office"",""37001020"",""1"",""0910"""</f>
        <v>"MO State Treasurer","MO State Treasurers Office","37001020","1","0910"</v>
      </c>
      <c r="D651" s="16" t="s">
        <v>12012</v>
      </c>
      <c r="E651" s="16" t="s">
        <v>12013</v>
      </c>
      <c r="F651" s="18">
        <v>140317.93000000002</v>
      </c>
      <c r="G651" s="18">
        <v>444.84</v>
      </c>
      <c r="H651" s="18">
        <v>139521.13</v>
      </c>
      <c r="I651" s="18">
        <v>0</v>
      </c>
      <c r="J651" s="18">
        <v>0</v>
      </c>
      <c r="K651" s="18">
        <v>277698.11</v>
      </c>
      <c r="L651" s="18">
        <v>0</v>
      </c>
      <c r="M651" s="20">
        <v>278939.75</v>
      </c>
      <c r="N651" s="20"/>
      <c r="O651" s="19"/>
    </row>
    <row r="652" spans="1:15" s="16" customFormat="1" x14ac:dyDescent="0.25">
      <c r="A652" s="16" t="s">
        <v>51</v>
      </c>
      <c r="B652" s="16" t="str">
        <f t="shared" si="9"/>
        <v>show</v>
      </c>
      <c r="C652" s="17" t="str">
        <f>"""MO State Treasurer"",""MO State Treasurers Office"",""37001020"",""1"",""0911"""</f>
        <v>"MO State Treasurer","MO State Treasurers Office","37001020","1","0911"</v>
      </c>
      <c r="D652" s="16" t="s">
        <v>12014</v>
      </c>
      <c r="E652" s="16" t="s">
        <v>12015</v>
      </c>
      <c r="F652" s="18">
        <v>865808.12</v>
      </c>
      <c r="G652" s="18">
        <v>24270.199999999997</v>
      </c>
      <c r="H652" s="18">
        <v>5079.6400000000003</v>
      </c>
      <c r="I652" s="18">
        <v>0</v>
      </c>
      <c r="J652" s="18">
        <v>3756.98</v>
      </c>
      <c r="K652" s="18">
        <v>0</v>
      </c>
      <c r="L652" s="18">
        <v>0</v>
      </c>
      <c r="M652" s="20">
        <v>881241.7</v>
      </c>
      <c r="N652" s="20"/>
      <c r="O652" s="19"/>
    </row>
    <row r="653" spans="1:15" s="16" customFormat="1" hidden="1" x14ac:dyDescent="0.25">
      <c r="A653" s="16" t="s">
        <v>51</v>
      </c>
      <c r="B653" s="16" t="str">
        <f t="shared" ref="B653:B716" si="10">IF(F653+G653+H653+I653+J653+K653+L653+N653=0,"hide","show")</f>
        <v>hide</v>
      </c>
      <c r="C653" s="17" t="str">
        <f>"""MO State Treasurer"",""MO State Treasurers Office"",""37001020"",""1"",""0912"""</f>
        <v>"MO State Treasurer","MO State Treasurers Office","37001020","1","0912"</v>
      </c>
      <c r="D653" s="16" t="s">
        <v>12016</v>
      </c>
      <c r="E653" s="16" t="s">
        <v>12017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x14ac:dyDescent="0.25">
      <c r="A654" s="16" t="s">
        <v>51</v>
      </c>
      <c r="B654" s="16" t="str">
        <f t="shared" si="10"/>
        <v>show</v>
      </c>
      <c r="C654" s="17" t="str">
        <f>"""MO State Treasurer"",""MO State Treasurers Office"",""37001020"",""1"",""0913"""</f>
        <v>"MO State Treasurer","MO State Treasurers Office","37001020","1","0913"</v>
      </c>
      <c r="D654" s="16" t="s">
        <v>12018</v>
      </c>
      <c r="E654" s="16" t="s">
        <v>12019</v>
      </c>
      <c r="F654" s="18">
        <v>7489743.7299999995</v>
      </c>
      <c r="G654" s="18">
        <v>99994.87000000001</v>
      </c>
      <c r="H654" s="18">
        <v>240670.71999999997</v>
      </c>
      <c r="I654" s="18">
        <v>0</v>
      </c>
      <c r="J654" s="18">
        <v>0</v>
      </c>
      <c r="K654" s="18">
        <v>0</v>
      </c>
      <c r="L654" s="18">
        <v>0</v>
      </c>
      <c r="M654" s="20">
        <v>7349067.8799999999</v>
      </c>
      <c r="N654" s="20"/>
      <c r="O654" s="19"/>
    </row>
    <row r="655" spans="1:15" s="16" customFormat="1" hidden="1" x14ac:dyDescent="0.25">
      <c r="A655" s="16" t="s">
        <v>51</v>
      </c>
      <c r="B655" s="16" t="str">
        <f t="shared" si="10"/>
        <v>hide</v>
      </c>
      <c r="C655" s="17" t="str">
        <f>"""MO State Treasurer"",""MO State Treasurers Office"",""37001020"",""1"",""0914"""</f>
        <v>"MO State Treasurer","MO State Treasurers Office","37001020","1","0914"</v>
      </c>
      <c r="D655" s="16" t="s">
        <v>12020</v>
      </c>
      <c r="E655" s="16" t="s">
        <v>12021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hidden="1" x14ac:dyDescent="0.25">
      <c r="A656" s="16" t="s">
        <v>51</v>
      </c>
      <c r="B656" s="16" t="str">
        <f t="shared" si="10"/>
        <v>hide</v>
      </c>
      <c r="C656" s="17" t="str">
        <f>"""MO State Treasurer"",""MO State Treasurers Office"",""37001020"",""1"",""0915"""</f>
        <v>"MO State Treasurer","MO State Treasurers Office","37001020","1","0915"</v>
      </c>
      <c r="D656" s="16" t="s">
        <v>12022</v>
      </c>
      <c r="E656" s="16" t="s">
        <v>12023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51</v>
      </c>
      <c r="B657" s="16" t="str">
        <f t="shared" si="10"/>
        <v>show</v>
      </c>
      <c r="C657" s="17" t="str">
        <f>"""MO State Treasurer"",""MO State Treasurers Office"",""37001020"",""1"",""0917"""</f>
        <v>"MO State Treasurer","MO State Treasurers Office","37001020","1","0917"</v>
      </c>
      <c r="D657" s="16" t="s">
        <v>12024</v>
      </c>
      <c r="E657" s="16" t="s">
        <v>12025</v>
      </c>
      <c r="F657" s="18">
        <v>3221.8900000000003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3221.8900000000003</v>
      </c>
      <c r="N657" s="20"/>
      <c r="O657" s="19"/>
    </row>
    <row r="658" spans="1:15" s="16" customFormat="1" hidden="1" x14ac:dyDescent="0.25">
      <c r="A658" s="16" t="s">
        <v>51</v>
      </c>
      <c r="B658" s="16" t="str">
        <f t="shared" si="10"/>
        <v>hide</v>
      </c>
      <c r="C658" s="17" t="str">
        <f>"""MO State Treasurer"",""MO State Treasurers Office"",""37001020"",""1"",""0919A"""</f>
        <v>"MO State Treasurer","MO State Treasurers Office","37001020","1","0919A"</v>
      </c>
      <c r="D658" s="16" t="s">
        <v>12026</v>
      </c>
      <c r="E658" s="16" t="s">
        <v>12027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51</v>
      </c>
      <c r="B659" s="16" t="str">
        <f t="shared" si="10"/>
        <v>show</v>
      </c>
      <c r="C659" s="17" t="str">
        <f>"""MO State Treasurer"",""MO State Treasurers Office"",""37001020"",""1"",""0920"""</f>
        <v>"MO State Treasurer","MO State Treasurers Office","37001020","1","0920"</v>
      </c>
      <c r="D659" s="16" t="s">
        <v>12028</v>
      </c>
      <c r="E659" s="16" t="s">
        <v>12029</v>
      </c>
      <c r="F659" s="18">
        <v>310613.84999999998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310613.84999999998</v>
      </c>
      <c r="N659" s="20"/>
      <c r="O659" s="19"/>
    </row>
    <row r="660" spans="1:15" s="16" customFormat="1" x14ac:dyDescent="0.25">
      <c r="A660" s="16" t="s">
        <v>51</v>
      </c>
      <c r="B660" s="16" t="str">
        <f t="shared" si="10"/>
        <v>show</v>
      </c>
      <c r="C660" s="17" t="str">
        <f>"""MO State Treasurer"",""MO State Treasurers Office"",""37001020"",""1"",""0922"""</f>
        <v>"MO State Treasurer","MO State Treasurers Office","37001020","1","0922"</v>
      </c>
      <c r="D660" s="16" t="s">
        <v>12030</v>
      </c>
      <c r="E660" s="16" t="s">
        <v>12031</v>
      </c>
      <c r="F660" s="18">
        <v>8988.3900000000012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8988.3900000000012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Office"",""37001020"",""1"",""0924"""</f>
        <v>"MO State Treasurer","MO State Treasurers Office","37001020","1","0924"</v>
      </c>
      <c r="D661" s="16" t="s">
        <v>12032</v>
      </c>
      <c r="E661" s="16" t="s">
        <v>12033</v>
      </c>
      <c r="F661" s="18">
        <v>26118.000000000004</v>
      </c>
      <c r="G661" s="18">
        <v>0</v>
      </c>
      <c r="H661" s="18">
        <v>2969.38</v>
      </c>
      <c r="I661" s="18">
        <v>0</v>
      </c>
      <c r="J661" s="18">
        <v>0</v>
      </c>
      <c r="K661" s="18">
        <v>0</v>
      </c>
      <c r="L661" s="18">
        <v>0</v>
      </c>
      <c r="M661" s="20">
        <v>23148.62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Office"",""37001020"",""1"",""0925"""</f>
        <v>"MO State Treasurer","MO State Treasurers Office","37001020","1","0925"</v>
      </c>
      <c r="D662" s="16" t="s">
        <v>12034</v>
      </c>
      <c r="E662" s="16" t="s">
        <v>12035</v>
      </c>
      <c r="F662" s="18">
        <v>267271.12</v>
      </c>
      <c r="G662" s="18">
        <v>5350.25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272621.37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Office"",""37001020"",""1"",""0926"""</f>
        <v>"MO State Treasurer","MO State Treasurers Office","37001020","1","0926"</v>
      </c>
      <c r="D663" s="16" t="s">
        <v>12036</v>
      </c>
      <c r="E663" s="16" t="s">
        <v>12037</v>
      </c>
      <c r="F663" s="18">
        <v>6197017.2499999991</v>
      </c>
      <c r="G663" s="18">
        <v>14852.800000000001</v>
      </c>
      <c r="H663" s="18">
        <v>10520.050000000001</v>
      </c>
      <c r="I663" s="18">
        <v>0</v>
      </c>
      <c r="J663" s="18">
        <v>2624.72</v>
      </c>
      <c r="K663" s="18">
        <v>0</v>
      </c>
      <c r="L663" s="18">
        <v>0</v>
      </c>
      <c r="M663" s="20">
        <v>6198725.2800000003</v>
      </c>
      <c r="N663" s="20"/>
      <c r="O663" s="19"/>
    </row>
    <row r="664" spans="1:15" s="16" customFormat="1" hidden="1" x14ac:dyDescent="0.25">
      <c r="A664" s="16" t="s">
        <v>51</v>
      </c>
      <c r="B664" s="16" t="str">
        <f t="shared" si="10"/>
        <v>hide</v>
      </c>
      <c r="C664" s="17" t="str">
        <f>"""MO State Treasurer"",""MO State Treasurers Office"",""37001020"",""1"",""0927A"""</f>
        <v>"MO State Treasurer","MO State Treasurers Office","37001020","1","0927A"</v>
      </c>
      <c r="D664" s="16" t="s">
        <v>12038</v>
      </c>
      <c r="E664" s="16" t="s">
        <v>12039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51</v>
      </c>
      <c r="B665" s="16" t="str">
        <f t="shared" si="10"/>
        <v>show</v>
      </c>
      <c r="C665" s="17" t="str">
        <f>"""MO State Treasurer"",""MO State Treasurers Office"",""37001020"",""1"",""0928"""</f>
        <v>"MO State Treasurer","MO State Treasurers Office","37001020","1","0928"</v>
      </c>
      <c r="D665" s="16" t="s">
        <v>12040</v>
      </c>
      <c r="E665" s="16" t="s">
        <v>12041</v>
      </c>
      <c r="F665" s="18">
        <v>679915.1</v>
      </c>
      <c r="G665" s="18">
        <v>631.01</v>
      </c>
      <c r="H665" s="18">
        <v>0</v>
      </c>
      <c r="I665" s="18">
        <v>0</v>
      </c>
      <c r="J665" s="18">
        <v>32</v>
      </c>
      <c r="K665" s="18">
        <v>0</v>
      </c>
      <c r="L665" s="18">
        <v>0</v>
      </c>
      <c r="M665" s="20">
        <v>680514.11</v>
      </c>
      <c r="N665" s="20"/>
      <c r="O665" s="19"/>
    </row>
    <row r="666" spans="1:15" s="16" customFormat="1" hidden="1" x14ac:dyDescent="0.25">
      <c r="A666" s="16" t="s">
        <v>51</v>
      </c>
      <c r="B666" s="16" t="str">
        <f t="shared" si="10"/>
        <v>hide</v>
      </c>
      <c r="C666" s="17" t="str">
        <f>"""MO State Treasurer"",""MO State Treasurers Office"",""37001020"",""1"",""0929A"""</f>
        <v>"MO State Treasurer","MO State Treasurers Office","37001020","1","0929A"</v>
      </c>
      <c r="D666" s="16" t="s">
        <v>12042</v>
      </c>
      <c r="E666" s="16" t="s">
        <v>12043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51</v>
      </c>
      <c r="B667" s="16" t="str">
        <f t="shared" si="10"/>
        <v>show</v>
      </c>
      <c r="C667" s="17" t="str">
        <f>"""MO State Treasurer"",""MO State Treasurers Office"",""37001020"",""1"",""0930"""</f>
        <v>"MO State Treasurer","MO State Treasurers Office","37001020","1","0930"</v>
      </c>
      <c r="D667" s="16" t="s">
        <v>12044</v>
      </c>
      <c r="E667" s="16" t="s">
        <v>12045</v>
      </c>
      <c r="F667" s="18">
        <v>2077818.7099999997</v>
      </c>
      <c r="G667" s="18">
        <v>171157.61000000002</v>
      </c>
      <c r="H667" s="18">
        <v>427289.63</v>
      </c>
      <c r="I667" s="18">
        <v>0</v>
      </c>
      <c r="J667" s="18">
        <v>0</v>
      </c>
      <c r="K667" s="18">
        <v>0</v>
      </c>
      <c r="L667" s="18">
        <v>0</v>
      </c>
      <c r="M667" s="20">
        <v>1821686.69</v>
      </c>
      <c r="N667" s="20"/>
      <c r="O667" s="19"/>
    </row>
    <row r="668" spans="1:15" s="16" customFormat="1" hidden="1" x14ac:dyDescent="0.25">
      <c r="A668" s="16" t="s">
        <v>51</v>
      </c>
      <c r="B668" s="16" t="str">
        <f t="shared" si="10"/>
        <v>hide</v>
      </c>
      <c r="C668" s="17" t="str">
        <f>"""MO State Treasurer"",""MO State Treasurers Office"",""37001020"",""1"",""0934A"""</f>
        <v>"MO State Treasurer","MO State Treasurers Office","37001020","1","0934A"</v>
      </c>
      <c r="D668" s="16" t="s">
        <v>12046</v>
      </c>
      <c r="E668" s="16" t="s">
        <v>12047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51</v>
      </c>
      <c r="B669" s="16" t="str">
        <f t="shared" si="10"/>
        <v>show</v>
      </c>
      <c r="C669" s="17" t="str">
        <f>"""MO State Treasurer"",""MO State Treasurers Office"",""37001020"",""1"",""0935"""</f>
        <v>"MO State Treasurer","MO State Treasurers Office","37001020","1","0935"</v>
      </c>
      <c r="D669" s="16" t="s">
        <v>12048</v>
      </c>
      <c r="E669" s="16" t="s">
        <v>12049</v>
      </c>
      <c r="F669" s="18">
        <v>11455688.950000001</v>
      </c>
      <c r="G669" s="18">
        <v>149636.9</v>
      </c>
      <c r="H669" s="18">
        <v>11421.28</v>
      </c>
      <c r="I669" s="18">
        <v>0</v>
      </c>
      <c r="J669" s="18">
        <v>3749.72</v>
      </c>
      <c r="K669" s="18">
        <v>0</v>
      </c>
      <c r="L669" s="18">
        <v>25.110000000000003</v>
      </c>
      <c r="M669" s="20">
        <v>11590129.74</v>
      </c>
      <c r="N669" s="20"/>
      <c r="O669" s="19"/>
    </row>
    <row r="670" spans="1:15" s="16" customFormat="1" hidden="1" x14ac:dyDescent="0.25">
      <c r="A670" s="16" t="s">
        <v>51</v>
      </c>
      <c r="B670" s="16" t="str">
        <f t="shared" si="10"/>
        <v>hide</v>
      </c>
      <c r="C670" s="17" t="str">
        <f>"""MO State Treasurer"",""MO State Treasurers Office"",""37001020"",""1"",""0936"""</f>
        <v>"MO State Treasurer","MO State Treasurers Office","37001020","1","0936"</v>
      </c>
      <c r="D670" s="16" t="s">
        <v>12050</v>
      </c>
      <c r="E670" s="16" t="s">
        <v>12051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51</v>
      </c>
      <c r="B671" s="16" t="str">
        <f t="shared" si="10"/>
        <v>show</v>
      </c>
      <c r="C671" s="17" t="str">
        <f>"""MO State Treasurer"",""MO State Treasurers Office"",""37001020"",""1"",""0937"""</f>
        <v>"MO State Treasurer","MO State Treasurers Office","37001020","1","0937"</v>
      </c>
      <c r="D671" s="16" t="s">
        <v>12052</v>
      </c>
      <c r="E671" s="16" t="s">
        <v>12053</v>
      </c>
      <c r="F671" s="18">
        <v>73016.929999999993</v>
      </c>
      <c r="G671" s="18">
        <v>61.139999999999993</v>
      </c>
      <c r="H671" s="18">
        <v>636.95000000000005</v>
      </c>
      <c r="I671" s="18">
        <v>0</v>
      </c>
      <c r="J671" s="18">
        <v>191.43</v>
      </c>
      <c r="K671" s="18">
        <v>0</v>
      </c>
      <c r="L671" s="18">
        <v>0</v>
      </c>
      <c r="M671" s="20">
        <v>72249.69</v>
      </c>
      <c r="N671" s="20"/>
      <c r="O671" s="19"/>
    </row>
    <row r="672" spans="1:15" s="16" customFormat="1" hidden="1" x14ac:dyDescent="0.25">
      <c r="A672" s="16" t="s">
        <v>51</v>
      </c>
      <c r="B672" s="16" t="str">
        <f t="shared" si="10"/>
        <v>hide</v>
      </c>
      <c r="C672" s="17" t="str">
        <f>"""MO State Treasurer"",""MO State Treasurers Office"",""37001020"",""1"",""0938A"""</f>
        <v>"MO State Treasurer","MO State Treasurers Office","37001020","1","0938A"</v>
      </c>
      <c r="D672" s="16" t="s">
        <v>12054</v>
      </c>
      <c r="E672" s="16" t="s">
        <v>12055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51</v>
      </c>
      <c r="B673" s="16" t="str">
        <f t="shared" si="10"/>
        <v>show</v>
      </c>
      <c r="C673" s="17" t="str">
        <f>"""MO State Treasurer"",""MO State Treasurers Office"",""37001020"",""1"",""0939"""</f>
        <v>"MO State Treasurer","MO State Treasurers Office","37001020","1","0939"</v>
      </c>
      <c r="D673" s="16" t="s">
        <v>12056</v>
      </c>
      <c r="E673" s="16" t="s">
        <v>12057</v>
      </c>
      <c r="F673" s="18">
        <v>12.26</v>
      </c>
      <c r="G673" s="18">
        <v>1.57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13.83</v>
      </c>
      <c r="N673" s="20"/>
      <c r="O673" s="19"/>
    </row>
    <row r="674" spans="1:15" s="16" customFormat="1" hidden="1" x14ac:dyDescent="0.25">
      <c r="A674" s="16" t="s">
        <v>51</v>
      </c>
      <c r="B674" s="16" t="str">
        <f t="shared" si="10"/>
        <v>hide</v>
      </c>
      <c r="C674" s="17" t="str">
        <f>"""MO State Treasurer"",""MO State Treasurers Office"",""37001020"",""1"",""0940A"""</f>
        <v>"MO State Treasurer","MO State Treasurers Office","37001020","1","0940A"</v>
      </c>
      <c r="D674" s="16" t="s">
        <v>12058</v>
      </c>
      <c r="E674" s="16" t="s">
        <v>12059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hidden="1" x14ac:dyDescent="0.25">
      <c r="A675" s="16" t="s">
        <v>51</v>
      </c>
      <c r="B675" s="16" t="str">
        <f t="shared" si="10"/>
        <v>hide</v>
      </c>
      <c r="C675" s="17" t="str">
        <f>"""MO State Treasurer"",""MO State Treasurers Office"",""37001020"",""1"",""0941A"""</f>
        <v>"MO State Treasurer","MO State Treasurers Office","37001020","1","0941A"</v>
      </c>
      <c r="D675" s="16" t="s">
        <v>12060</v>
      </c>
      <c r="E675" s="16" t="s">
        <v>12061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hidden="1" x14ac:dyDescent="0.25">
      <c r="A676" s="16" t="s">
        <v>51</v>
      </c>
      <c r="B676" s="16" t="str">
        <f t="shared" si="10"/>
        <v>hide</v>
      </c>
      <c r="C676" s="17" t="str">
        <f>"""MO State Treasurer"",""MO State Treasurers Office"",""37001020"",""1"",""0942A"""</f>
        <v>"MO State Treasurer","MO State Treasurers Office","37001020","1","0942A"</v>
      </c>
      <c r="D676" s="16" t="s">
        <v>12062</v>
      </c>
      <c r="E676" s="16" t="s">
        <v>12063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tr">
        <f t="shared" si="10"/>
        <v>hide</v>
      </c>
      <c r="C677" s="17" t="str">
        <f>"""MO State Treasurer"",""MO State Treasurers Office"",""37001020"",""1"",""0943"""</f>
        <v>"MO State Treasurer","MO State Treasurers Office","37001020","1","0943"</v>
      </c>
      <c r="D677" s="16" t="s">
        <v>12064</v>
      </c>
      <c r="E677" s="16" t="s">
        <v>12065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Office"",""37001020"",""1"",""0944"""</f>
        <v>"MO State Treasurer","MO State Treasurers Office","37001020","1","0944"</v>
      </c>
      <c r="D678" s="16" t="s">
        <v>12066</v>
      </c>
      <c r="E678" s="16" t="s">
        <v>12067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Office"",""37001020"",""1"",""0947"""</f>
        <v>"MO State Treasurer","MO State Treasurers Office","37001020","1","0947"</v>
      </c>
      <c r="D679" s="16" t="s">
        <v>12068</v>
      </c>
      <c r="E679" s="16" t="s">
        <v>12069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51</v>
      </c>
      <c r="B680" s="16" t="str">
        <f t="shared" si="10"/>
        <v>show</v>
      </c>
      <c r="C680" s="17" t="str">
        <f>"""MO State Treasurer"",""MO State Treasurers Office"",""37001020"",""1"",""0948"""</f>
        <v>"MO State Treasurer","MO State Treasurers Office","37001020","1","0948"</v>
      </c>
      <c r="D680" s="16" t="s">
        <v>12070</v>
      </c>
      <c r="E680" s="16" t="s">
        <v>12071</v>
      </c>
      <c r="F680" s="18">
        <v>334584.29000000004</v>
      </c>
      <c r="G680" s="18">
        <v>2583653.31</v>
      </c>
      <c r="H680" s="18">
        <v>1464595.38</v>
      </c>
      <c r="I680" s="18">
        <v>0</v>
      </c>
      <c r="J680" s="18">
        <v>789207.78999999992</v>
      </c>
      <c r="K680" s="18">
        <v>1021</v>
      </c>
      <c r="L680" s="18">
        <v>117099.94</v>
      </c>
      <c r="M680" s="20">
        <v>548355.49</v>
      </c>
      <c r="N680" s="20"/>
      <c r="O680" s="19"/>
    </row>
    <row r="681" spans="1:15" s="16" customFormat="1" x14ac:dyDescent="0.25">
      <c r="A681" s="16" t="s">
        <v>51</v>
      </c>
      <c r="B681" s="16" t="str">
        <f t="shared" si="10"/>
        <v>show</v>
      </c>
      <c r="C681" s="17" t="str">
        <f>"""MO State Treasurer"",""MO State Treasurers Office"",""37001020"",""1"",""0949"""</f>
        <v>"MO State Treasurer","MO State Treasurers Office","37001020","1","0949"</v>
      </c>
      <c r="D681" s="16" t="s">
        <v>12072</v>
      </c>
      <c r="E681" s="16" t="s">
        <v>12073</v>
      </c>
      <c r="F681" s="18">
        <v>6555143.0599999996</v>
      </c>
      <c r="G681" s="18">
        <v>583892.75</v>
      </c>
      <c r="H681" s="18">
        <v>303240.03999999998</v>
      </c>
      <c r="I681" s="18">
        <v>0</v>
      </c>
      <c r="J681" s="18">
        <v>37334.67</v>
      </c>
      <c r="K681" s="18">
        <v>0</v>
      </c>
      <c r="L681" s="18">
        <v>225.12</v>
      </c>
      <c r="M681" s="20">
        <v>6798235.9799999995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Office"",""37001020"",""1"",""0950"""</f>
        <v>"MO State Treasurer","MO State Treasurers Office","37001020","1","0950"</v>
      </c>
      <c r="D682" s="16" t="s">
        <v>12074</v>
      </c>
      <c r="E682" s="16" t="s">
        <v>12075</v>
      </c>
      <c r="F682" s="18">
        <v>56081.66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56081.66</v>
      </c>
      <c r="N682" s="20"/>
      <c r="O682" s="19"/>
    </row>
    <row r="683" spans="1:15" s="16" customFormat="1" x14ac:dyDescent="0.25">
      <c r="A683" s="16" t="s">
        <v>51</v>
      </c>
      <c r="B683" s="16" t="str">
        <f t="shared" si="10"/>
        <v>show</v>
      </c>
      <c r="C683" s="17" t="str">
        <f>"""MO State Treasurer"",""MO State Treasurers Office"",""37001020"",""1"",""0951"""</f>
        <v>"MO State Treasurer","MO State Treasurers Office","37001020","1","0951"</v>
      </c>
      <c r="D683" s="16" t="s">
        <v>12076</v>
      </c>
      <c r="E683" s="16" t="s">
        <v>12077</v>
      </c>
      <c r="F683" s="18">
        <v>4221.84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4221.84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Office"",""37001020"",""1"",""0952"""</f>
        <v>"MO State Treasurer","MO State Treasurers Office","37001020","1","0952"</v>
      </c>
      <c r="D684" s="16" t="s">
        <v>12078</v>
      </c>
      <c r="E684" s="16" t="s">
        <v>12079</v>
      </c>
      <c r="F684" s="18">
        <v>8883000.6400000006</v>
      </c>
      <c r="G684" s="18">
        <v>145477.13</v>
      </c>
      <c r="H684" s="18">
        <v>297186.99</v>
      </c>
      <c r="I684" s="18">
        <v>0</v>
      </c>
      <c r="J684" s="18">
        <v>21465.260000000002</v>
      </c>
      <c r="K684" s="18">
        <v>0</v>
      </c>
      <c r="L684" s="18">
        <v>75.38</v>
      </c>
      <c r="M684" s="20">
        <v>8709750.1400000006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Office"",""37001020"",""1"",""0953"""</f>
        <v>"MO State Treasurer","MO State Treasurers Office","37001020","1","0953"</v>
      </c>
      <c r="D685" s="16" t="s">
        <v>12080</v>
      </c>
      <c r="E685" s="16" t="s">
        <v>12081</v>
      </c>
      <c r="F685" s="18">
        <v>255.37</v>
      </c>
      <c r="G685" s="18">
        <v>0.96</v>
      </c>
      <c r="H685" s="18">
        <v>0</v>
      </c>
      <c r="I685" s="18">
        <v>0</v>
      </c>
      <c r="J685" s="18">
        <v>255</v>
      </c>
      <c r="K685" s="18">
        <v>0</v>
      </c>
      <c r="L685" s="18">
        <v>0</v>
      </c>
      <c r="M685" s="20">
        <v>1.33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Office"",""37001020"",""1"",""0955"""</f>
        <v>"MO State Treasurer","MO State Treasurers Office","37001020","1","0955"</v>
      </c>
      <c r="D686" s="16" t="s">
        <v>12082</v>
      </c>
      <c r="E686" s="16" t="s">
        <v>12083</v>
      </c>
      <c r="F686" s="18">
        <v>11003.42</v>
      </c>
      <c r="G686" s="18">
        <v>122.5</v>
      </c>
      <c r="H686" s="18">
        <v>0</v>
      </c>
      <c r="I686" s="18">
        <v>1500000</v>
      </c>
      <c r="J686" s="18">
        <v>0</v>
      </c>
      <c r="K686" s="18">
        <v>0</v>
      </c>
      <c r="L686" s="18">
        <v>0</v>
      </c>
      <c r="M686" s="20">
        <v>1511125.9200000002</v>
      </c>
      <c r="N686" s="20"/>
      <c r="O686" s="19"/>
    </row>
    <row r="687" spans="1:15" s="16" customFormat="1" hidden="1" x14ac:dyDescent="0.25">
      <c r="A687" s="16" t="s">
        <v>51</v>
      </c>
      <c r="B687" s="16" t="str">
        <f t="shared" si="10"/>
        <v>hide</v>
      </c>
      <c r="C687" s="17" t="str">
        <f>"""MO State Treasurer"",""MO State Treasurers Office"",""37001020"",""1"",""0957A"""</f>
        <v>"MO State Treasurer","MO State Treasurers Office","37001020","1","0957A"</v>
      </c>
      <c r="D687" s="16" t="s">
        <v>12084</v>
      </c>
      <c r="E687" s="16" t="s">
        <v>12085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x14ac:dyDescent="0.25">
      <c r="A688" s="16" t="s">
        <v>51</v>
      </c>
      <c r="B688" s="16" t="str">
        <f t="shared" si="10"/>
        <v>show</v>
      </c>
      <c r="C688" s="17" t="str">
        <f>"""MO State Treasurer"",""MO State Treasurers Office"",""37001020"",""1"",""0958"""</f>
        <v>"MO State Treasurer","MO State Treasurers Office","37001020","1","0958"</v>
      </c>
      <c r="D688" s="16" t="s">
        <v>12086</v>
      </c>
      <c r="E688" s="16" t="s">
        <v>12087</v>
      </c>
      <c r="F688" s="18">
        <v>6566482.75</v>
      </c>
      <c r="G688" s="18">
        <v>2012418.5399999998</v>
      </c>
      <c r="H688" s="18">
        <v>1958196.94</v>
      </c>
      <c r="I688" s="18">
        <v>669851</v>
      </c>
      <c r="J688" s="18">
        <v>669851</v>
      </c>
      <c r="K688" s="18">
        <v>0</v>
      </c>
      <c r="L688" s="18">
        <v>0</v>
      </c>
      <c r="M688" s="20">
        <v>6620704.3499999996</v>
      </c>
      <c r="N688" s="20"/>
      <c r="O688" s="19"/>
    </row>
    <row r="689" spans="1:15" s="16" customFormat="1" x14ac:dyDescent="0.25">
      <c r="A689" s="16" t="s">
        <v>51</v>
      </c>
      <c r="B689" s="16" t="str">
        <f t="shared" si="10"/>
        <v>show</v>
      </c>
      <c r="C689" s="17" t="str">
        <f>"""MO State Treasurer"",""MO State Treasurers Office"",""37001020"",""1"",""0959"""</f>
        <v>"MO State Treasurer","MO State Treasurers Office","37001020","1","0959"</v>
      </c>
      <c r="D689" s="16" t="s">
        <v>12088</v>
      </c>
      <c r="E689" s="16" t="s">
        <v>12089</v>
      </c>
      <c r="F689" s="18">
        <v>2271.6800000000003</v>
      </c>
      <c r="G689" s="18">
        <v>0.8</v>
      </c>
      <c r="H689" s="18">
        <v>0</v>
      </c>
      <c r="I689" s="18">
        <v>25</v>
      </c>
      <c r="J689" s="18">
        <v>0</v>
      </c>
      <c r="K689" s="18">
        <v>0</v>
      </c>
      <c r="L689" s="18">
        <v>0</v>
      </c>
      <c r="M689" s="20">
        <v>2297.48</v>
      </c>
      <c r="N689" s="20"/>
      <c r="O689" s="19"/>
    </row>
    <row r="690" spans="1:15" s="16" customFormat="1" hidden="1" x14ac:dyDescent="0.25">
      <c r="A690" s="16" t="s">
        <v>51</v>
      </c>
      <c r="B690" s="16" t="str">
        <f t="shared" si="10"/>
        <v>hide</v>
      </c>
      <c r="C690" s="17" t="str">
        <f>"""MO State Treasurer"",""MO State Treasurers Office"",""37001020"",""1"",""0961"""</f>
        <v>"MO State Treasurer","MO State Treasurers Office","37001020","1","0961"</v>
      </c>
      <c r="D690" s="16" t="s">
        <v>12090</v>
      </c>
      <c r="E690" s="16" t="s">
        <v>12091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51</v>
      </c>
      <c r="B691" s="16" t="str">
        <f t="shared" si="10"/>
        <v>show</v>
      </c>
      <c r="C691" s="17" t="str">
        <f>"""MO State Treasurer"",""MO State Treasurers Office"",""37001020"",""1"",""0963"""</f>
        <v>"MO State Treasurer","MO State Treasurers Office","37001020","1","0963"</v>
      </c>
      <c r="D691" s="16" t="s">
        <v>12092</v>
      </c>
      <c r="E691" s="16" t="s">
        <v>12093</v>
      </c>
      <c r="F691" s="18">
        <v>876382.27</v>
      </c>
      <c r="G691" s="18">
        <v>761.03000000000009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877143.3</v>
      </c>
      <c r="N691" s="20"/>
      <c r="O691" s="19"/>
    </row>
    <row r="692" spans="1:15" s="16" customFormat="1" hidden="1" x14ac:dyDescent="0.25">
      <c r="A692" s="16" t="s">
        <v>51</v>
      </c>
      <c r="B692" s="16" t="str">
        <f t="shared" si="10"/>
        <v>hide</v>
      </c>
      <c r="C692" s="17" t="str">
        <f>"""MO State Treasurer"",""MO State Treasurers Office"",""37001020"",""1"",""0966A"""</f>
        <v>"MO State Treasurer","MO State Treasurers Office","37001020","1","0966A"</v>
      </c>
      <c r="D692" s="16" t="s">
        <v>12094</v>
      </c>
      <c r="E692" s="16" t="s">
        <v>12095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51</v>
      </c>
      <c r="B693" s="16" t="str">
        <f t="shared" si="10"/>
        <v>hide</v>
      </c>
      <c r="C693" s="17" t="str">
        <f>"""MO State Treasurer"",""MO State Treasurers Office"",""37001020"",""1"",""0969"""</f>
        <v>"MO State Treasurer","MO State Treasurers Office","37001020","1","0969"</v>
      </c>
      <c r="D693" s="16" t="s">
        <v>12096</v>
      </c>
      <c r="E693" s="16" t="s">
        <v>12097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x14ac:dyDescent="0.25">
      <c r="A694" s="16" t="s">
        <v>51</v>
      </c>
      <c r="B694" s="16" t="str">
        <f t="shared" si="10"/>
        <v>show</v>
      </c>
      <c r="C694" s="17" t="str">
        <f>"""MO State Treasurer"",""MO State Treasurers Office"",""37001020"",""1"",""0970"""</f>
        <v>"MO State Treasurer","MO State Treasurers Office","37001020","1","0970"</v>
      </c>
      <c r="D694" s="16" t="s">
        <v>12098</v>
      </c>
      <c r="E694" s="16" t="s">
        <v>12099</v>
      </c>
      <c r="F694" s="18">
        <v>5177746.99</v>
      </c>
      <c r="G694" s="18">
        <v>775736.13</v>
      </c>
      <c r="H694" s="18">
        <v>422801.12999999995</v>
      </c>
      <c r="I694" s="18">
        <v>6975</v>
      </c>
      <c r="J694" s="18">
        <v>244257.28999999998</v>
      </c>
      <c r="K694" s="18">
        <v>0</v>
      </c>
      <c r="L694" s="18">
        <v>15242.71</v>
      </c>
      <c r="M694" s="20">
        <v>5278156.99</v>
      </c>
      <c r="N694" s="20"/>
      <c r="O694" s="19"/>
    </row>
    <row r="695" spans="1:15" s="16" customFormat="1" hidden="1" x14ac:dyDescent="0.25">
      <c r="A695" s="16" t="s">
        <v>51</v>
      </c>
      <c r="B695" s="16" t="str">
        <f t="shared" si="10"/>
        <v>hide</v>
      </c>
      <c r="C695" s="17" t="str">
        <f>"""MO State Treasurer"",""MO State Treasurers Office"",""37001020"",""1"",""0971"""</f>
        <v>"MO State Treasurer","MO State Treasurers Office","37001020","1","0971"</v>
      </c>
      <c r="D695" s="16" t="s">
        <v>12100</v>
      </c>
      <c r="E695" s="16" t="s">
        <v>12101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51</v>
      </c>
      <c r="B696" s="16" t="str">
        <f t="shared" si="10"/>
        <v>show</v>
      </c>
      <c r="C696" s="17" t="str">
        <f>"""MO State Treasurer"",""MO State Treasurers Office"",""37001020"",""1"",""0973"""</f>
        <v>"MO State Treasurer","MO State Treasurers Office","37001020","1","0973"</v>
      </c>
      <c r="D696" s="16" t="s">
        <v>12102</v>
      </c>
      <c r="E696" s="16" t="s">
        <v>12103</v>
      </c>
      <c r="F696" s="18">
        <v>25441.9</v>
      </c>
      <c r="G696" s="18">
        <v>729.64</v>
      </c>
      <c r="H696" s="18">
        <v>2660.11</v>
      </c>
      <c r="I696" s="18">
        <v>0</v>
      </c>
      <c r="J696" s="18">
        <v>1326.53</v>
      </c>
      <c r="K696" s="18">
        <v>0</v>
      </c>
      <c r="L696" s="18">
        <v>0</v>
      </c>
      <c r="M696" s="20">
        <v>22184.9</v>
      </c>
      <c r="N696" s="20"/>
      <c r="O696" s="19"/>
    </row>
    <row r="697" spans="1:15" s="16" customFormat="1" hidden="1" x14ac:dyDescent="0.25">
      <c r="A697" s="16" t="s">
        <v>51</v>
      </c>
      <c r="B697" s="16" t="str">
        <f t="shared" si="10"/>
        <v>hide</v>
      </c>
      <c r="C697" s="17" t="str">
        <f>"""MO State Treasurer"",""MO State Treasurers Office"",""37001020"",""1"",""0974"""</f>
        <v>"MO State Treasurer","MO State Treasurers Office","37001020","1","0974"</v>
      </c>
      <c r="D697" s="16" t="s">
        <v>12104</v>
      </c>
      <c r="E697" s="16" t="s">
        <v>12105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51</v>
      </c>
      <c r="B698" s="16" t="str">
        <f t="shared" si="10"/>
        <v>hide</v>
      </c>
      <c r="C698" s="17" t="str">
        <f>"""MO State Treasurer"",""MO State Treasurers Office"",""37001020"",""1"",""0975A"""</f>
        <v>"MO State Treasurer","MO State Treasurers Office","37001020","1","0975A"</v>
      </c>
      <c r="D698" s="16" t="s">
        <v>12106</v>
      </c>
      <c r="E698" s="16" t="s">
        <v>12107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Office"",""37001020"",""1"",""0976A"""</f>
        <v>"MO State Treasurer","MO State Treasurers Office","37001020","1","0976A"</v>
      </c>
      <c r="D699" s="16" t="s">
        <v>12108</v>
      </c>
      <c r="E699" s="16" t="s">
        <v>12109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Office"",""37001020"",""1"",""0978"""</f>
        <v>"MO State Treasurer","MO State Treasurers Office","37001020","1","0978"</v>
      </c>
      <c r="D700" s="16" t="s">
        <v>12110</v>
      </c>
      <c r="E700" s="16" t="s">
        <v>12111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x14ac:dyDescent="0.25">
      <c r="A701" s="16" t="s">
        <v>51</v>
      </c>
      <c r="B701" s="16" t="str">
        <f t="shared" si="10"/>
        <v>show</v>
      </c>
      <c r="C701" s="17" t="str">
        <f>"""MO State Treasurer"",""MO State Treasurers Office"",""37001020"",""1"",""0979"""</f>
        <v>"MO State Treasurer","MO State Treasurers Office","37001020","1","0979"</v>
      </c>
      <c r="D701" s="16" t="s">
        <v>12112</v>
      </c>
      <c r="E701" s="16" t="s">
        <v>12113</v>
      </c>
      <c r="F701" s="18">
        <v>27201.72</v>
      </c>
      <c r="G701" s="18">
        <v>22.34</v>
      </c>
      <c r="H701" s="18">
        <v>0</v>
      </c>
      <c r="I701" s="18">
        <v>362</v>
      </c>
      <c r="J701" s="18">
        <v>0</v>
      </c>
      <c r="K701" s="18">
        <v>0</v>
      </c>
      <c r="L701" s="18">
        <v>0</v>
      </c>
      <c r="M701" s="20">
        <v>27586.059999999998</v>
      </c>
      <c r="N701" s="20"/>
      <c r="O701" s="19"/>
    </row>
    <row r="702" spans="1:15" s="16" customFormat="1" x14ac:dyDescent="0.25">
      <c r="A702" s="16" t="s">
        <v>51</v>
      </c>
      <c r="B702" s="16" t="str">
        <f t="shared" si="10"/>
        <v>show</v>
      </c>
      <c r="C702" s="17" t="str">
        <f>"""MO State Treasurer"",""MO State Treasurers Office"",""37001020"",""1"",""0980"""</f>
        <v>"MO State Treasurer","MO State Treasurers Office","37001020","1","0980"</v>
      </c>
      <c r="D702" s="16" t="s">
        <v>12114</v>
      </c>
      <c r="E702" s="16" t="s">
        <v>12115</v>
      </c>
      <c r="F702" s="18">
        <v>19079098.649999999</v>
      </c>
      <c r="G702" s="18">
        <v>468741.16</v>
      </c>
      <c r="H702" s="18">
        <v>5474589.2000000002</v>
      </c>
      <c r="I702" s="18">
        <v>0</v>
      </c>
      <c r="J702" s="18">
        <v>422961.81000000006</v>
      </c>
      <c r="K702" s="18">
        <v>2649139.14</v>
      </c>
      <c r="L702" s="18">
        <v>7136.4000000000005</v>
      </c>
      <c r="M702" s="20">
        <v>16292291.540000001</v>
      </c>
      <c r="N702" s="20"/>
      <c r="O702" s="19"/>
    </row>
    <row r="703" spans="1:15" s="16" customFormat="1" hidden="1" x14ac:dyDescent="0.25">
      <c r="A703" s="16" t="s">
        <v>51</v>
      </c>
      <c r="B703" s="16" t="str">
        <f t="shared" si="10"/>
        <v>hide</v>
      </c>
      <c r="C703" s="17" t="str">
        <f>"""MO State Treasurer"",""MO State Treasurers Office"",""37001020"",""1"",""0982"""</f>
        <v>"MO State Treasurer","MO State Treasurers Office","37001020","1","0982"</v>
      </c>
      <c r="D703" s="16" t="s">
        <v>12116</v>
      </c>
      <c r="E703" s="16" t="s">
        <v>12117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x14ac:dyDescent="0.25">
      <c r="A704" s="16" t="s">
        <v>51</v>
      </c>
      <c r="B704" s="16" t="str">
        <f t="shared" si="10"/>
        <v>show</v>
      </c>
      <c r="C704" s="17" t="str">
        <f>"""MO State Treasurer"",""MO State Treasurers Office"",""37001020"",""1"",""0983"""</f>
        <v>"MO State Treasurer","MO State Treasurers Office","37001020","1","0983"</v>
      </c>
      <c r="D704" s="16" t="s">
        <v>12118</v>
      </c>
      <c r="E704" s="16" t="s">
        <v>12119</v>
      </c>
      <c r="F704" s="18">
        <v>20500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20500</v>
      </c>
      <c r="N704" s="20"/>
      <c r="O704" s="19"/>
    </row>
    <row r="705" spans="1:15" s="16" customFormat="1" x14ac:dyDescent="0.25">
      <c r="A705" s="16" t="s">
        <v>51</v>
      </c>
      <c r="B705" s="16" t="str">
        <f t="shared" si="10"/>
        <v>show</v>
      </c>
      <c r="C705" s="17" t="str">
        <f>"""MO State Treasurer"",""MO State Treasurers Office"",""37001020"",""1"",""0984"""</f>
        <v>"MO State Treasurer","MO State Treasurers Office","37001020","1","0984"</v>
      </c>
      <c r="D705" s="16" t="s">
        <v>12120</v>
      </c>
      <c r="E705" s="16" t="s">
        <v>12121</v>
      </c>
      <c r="F705" s="18">
        <v>18146.61</v>
      </c>
      <c r="G705" s="18">
        <v>9.09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18155.7</v>
      </c>
      <c r="N705" s="20"/>
      <c r="O705" s="19"/>
    </row>
    <row r="706" spans="1:15" s="16" customFormat="1" x14ac:dyDescent="0.25">
      <c r="A706" s="16" t="s">
        <v>51</v>
      </c>
      <c r="B706" s="16" t="str">
        <f t="shared" si="10"/>
        <v>show</v>
      </c>
      <c r="C706" s="17" t="str">
        <f>"""MO State Treasurer"",""MO State Treasurers Office"",""37001020"",""1"",""0985"""</f>
        <v>"MO State Treasurer","MO State Treasurers Office","37001020","1","0985"</v>
      </c>
      <c r="D706" s="16" t="s">
        <v>12122</v>
      </c>
      <c r="E706" s="16" t="s">
        <v>12123</v>
      </c>
      <c r="F706" s="18">
        <v>32802.74</v>
      </c>
      <c r="G706" s="18">
        <v>30.14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32832.879999999997</v>
      </c>
      <c r="N706" s="20"/>
      <c r="O706" s="19"/>
    </row>
    <row r="707" spans="1:15" s="16" customFormat="1" hidden="1" x14ac:dyDescent="0.25">
      <c r="A707" s="16" t="s">
        <v>51</v>
      </c>
      <c r="B707" s="16" t="str">
        <f t="shared" si="10"/>
        <v>hide</v>
      </c>
      <c r="C707" s="17" t="str">
        <f>"""MO State Treasurer"",""MO State Treasurers Office"",""37001020"",""1"",""0986"""</f>
        <v>"MO State Treasurer","MO State Treasurers Office","37001020","1","0986"</v>
      </c>
      <c r="D707" s="16" t="s">
        <v>12124</v>
      </c>
      <c r="E707" s="16" t="s">
        <v>12125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x14ac:dyDescent="0.25">
      <c r="A708" s="16" t="s">
        <v>51</v>
      </c>
      <c r="B708" s="16" t="str">
        <f t="shared" si="10"/>
        <v>show</v>
      </c>
      <c r="C708" s="17" t="str">
        <f>"""MO State Treasurer"",""MO State Treasurers Office"",""37001020"",""1"",""0987"""</f>
        <v>"MO State Treasurer","MO State Treasurers Office","37001020","1","0987"</v>
      </c>
      <c r="D708" s="16" t="s">
        <v>12126</v>
      </c>
      <c r="E708" s="16" t="s">
        <v>12127</v>
      </c>
      <c r="F708" s="18">
        <v>0.78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0.78</v>
      </c>
      <c r="N708" s="20"/>
      <c r="O708" s="19"/>
    </row>
    <row r="709" spans="1:15" s="16" customFormat="1" x14ac:dyDescent="0.25">
      <c r="A709" s="16" t="s">
        <v>51</v>
      </c>
      <c r="B709" s="16" t="str">
        <f t="shared" si="10"/>
        <v>show</v>
      </c>
      <c r="C709" s="17" t="str">
        <f>"""MO State Treasurer"",""MO State Treasurers Office"",""37001020"",""1"",""0988"""</f>
        <v>"MO State Treasurer","MO State Treasurers Office","37001020","1","0988"</v>
      </c>
      <c r="D709" s="16" t="s">
        <v>12128</v>
      </c>
      <c r="E709" s="16" t="s">
        <v>12129</v>
      </c>
      <c r="F709" s="18">
        <v>34208.770000000004</v>
      </c>
      <c r="G709" s="18">
        <v>30.270000000000003</v>
      </c>
      <c r="H709" s="18">
        <v>0</v>
      </c>
      <c r="I709" s="18">
        <v>0</v>
      </c>
      <c r="J709" s="18">
        <v>27</v>
      </c>
      <c r="K709" s="18">
        <v>0</v>
      </c>
      <c r="L709" s="18">
        <v>0</v>
      </c>
      <c r="M709" s="20">
        <v>34212.04</v>
      </c>
      <c r="N709" s="20"/>
      <c r="O709" s="19"/>
    </row>
    <row r="710" spans="1:15" s="16" customFormat="1" hidden="1" x14ac:dyDescent="0.25">
      <c r="A710" s="16" t="s">
        <v>51</v>
      </c>
      <c r="B710" s="16" t="str">
        <f t="shared" si="10"/>
        <v>hide</v>
      </c>
      <c r="C710" s="17" t="str">
        <f>"""MO State Treasurer"",""MO State Treasurers Office"",""37001020"",""1"",""0989"""</f>
        <v>"MO State Treasurer","MO State Treasurers Office","37001020","1","0989"</v>
      </c>
      <c r="D710" s="16" t="s">
        <v>12130</v>
      </c>
      <c r="E710" s="16" t="s">
        <v>12131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x14ac:dyDescent="0.25">
      <c r="A711" s="16" t="s">
        <v>51</v>
      </c>
      <c r="B711" s="16" t="str">
        <f t="shared" si="10"/>
        <v>show</v>
      </c>
      <c r="C711" s="17" t="str">
        <f>"""MO State Treasurer"",""MO State Treasurers Office"",""37001020"",""1"",""0990"""</f>
        <v>"MO State Treasurer","MO State Treasurers Office","37001020","1","0990"</v>
      </c>
      <c r="D711" s="16" t="s">
        <v>12132</v>
      </c>
      <c r="E711" s="16" t="s">
        <v>12133</v>
      </c>
      <c r="F711" s="18">
        <v>1120620.46</v>
      </c>
      <c r="G711" s="18">
        <v>30944.51</v>
      </c>
      <c r="H711" s="18">
        <v>9972.74</v>
      </c>
      <c r="I711" s="18">
        <v>0</v>
      </c>
      <c r="J711" s="18">
        <v>3350</v>
      </c>
      <c r="K711" s="18">
        <v>0</v>
      </c>
      <c r="L711" s="18">
        <v>730.47</v>
      </c>
      <c r="M711" s="20">
        <v>1137511.76</v>
      </c>
      <c r="N711" s="20"/>
      <c r="O711" s="19"/>
    </row>
    <row r="712" spans="1:15" s="16" customFormat="1" x14ac:dyDescent="0.25">
      <c r="A712" s="16" t="s">
        <v>51</v>
      </c>
      <c r="B712" s="16" t="str">
        <f t="shared" si="10"/>
        <v>show</v>
      </c>
      <c r="C712" s="17" t="str">
        <f>"""MO State Treasurer"",""MO State Treasurers Office"",""37001020"",""1"",""0993"""</f>
        <v>"MO State Treasurer","MO State Treasurers Office","37001020","1","0993"</v>
      </c>
      <c r="D712" s="16" t="s">
        <v>12134</v>
      </c>
      <c r="E712" s="16" t="s">
        <v>12135</v>
      </c>
      <c r="F712" s="18">
        <v>106527.48000000001</v>
      </c>
      <c r="G712" s="18">
        <v>26881.61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133409.09</v>
      </c>
      <c r="N712" s="20"/>
      <c r="O712" s="19"/>
    </row>
    <row r="713" spans="1:15" s="16" customFormat="1" x14ac:dyDescent="0.25">
      <c r="A713" s="16" t="s">
        <v>51</v>
      </c>
      <c r="B713" s="16" t="str">
        <f t="shared" si="10"/>
        <v>show</v>
      </c>
      <c r="C713" s="17" t="str">
        <f>"""MO State Treasurer"",""MO State Treasurers Office"",""37001020"",""1"",""0995"""</f>
        <v>"MO State Treasurer","MO State Treasurers Office","37001020","1","0995"</v>
      </c>
      <c r="D713" s="16" t="s">
        <v>12136</v>
      </c>
      <c r="E713" s="16" t="s">
        <v>12137</v>
      </c>
      <c r="F713" s="18">
        <v>0</v>
      </c>
      <c r="G713" s="18">
        <v>577.96</v>
      </c>
      <c r="H713" s="18">
        <v>577.96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51</v>
      </c>
      <c r="B714" s="16" t="str">
        <f t="shared" si="10"/>
        <v>show</v>
      </c>
      <c r="C714" s="17" t="str">
        <f>"""MO State Treasurer"",""MO State Treasurers Office"",""37001020"",""1"",""0997"""</f>
        <v>"MO State Treasurer","MO State Treasurers Office","37001020","1","0997"</v>
      </c>
      <c r="D714" s="16" t="s">
        <v>12138</v>
      </c>
      <c r="E714" s="16" t="s">
        <v>12139</v>
      </c>
      <c r="F714" s="18">
        <v>61652.51</v>
      </c>
      <c r="G714" s="18">
        <v>55.69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61708.2</v>
      </c>
      <c r="N714" s="20"/>
      <c r="O714" s="19"/>
    </row>
    <row r="715" spans="1:15" s="16" customFormat="1" hidden="1" x14ac:dyDescent="0.25">
      <c r="A715" s="16" t="s">
        <v>51</v>
      </c>
      <c r="B715" s="16" t="str">
        <f t="shared" si="10"/>
        <v>hide</v>
      </c>
      <c r="C715" s="17" t="str">
        <f>"""MO State Treasurer"",""MO State Treasurers Office"",""37001020"",""1"",""2000"""</f>
        <v>"MO State Treasurer","MO State Treasurers Office","37001020","1","2000"</v>
      </c>
      <c r="D715" s="16" t="s">
        <v>30</v>
      </c>
      <c r="E715" s="16" t="s">
        <v>12140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51</v>
      </c>
      <c r="B716" s="16" t="str">
        <f t="shared" si="10"/>
        <v>hide</v>
      </c>
      <c r="C716" s="17" t="str">
        <f>"""MO State Treasurer"",""MO State Treasurers Office"",""37001020"",""1"",""2018"""</f>
        <v>"MO State Treasurer","MO State Treasurers Office","37001020","1","2018"</v>
      </c>
      <c r="D716" s="16" t="s">
        <v>12141</v>
      </c>
      <c r="E716" s="16" t="s">
        <v>12142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77" si="11">IF(F717+G717+H717+I717+J717+K717+L717+N717=0,"hide","show")</f>
        <v>hide</v>
      </c>
      <c r="C717" s="17" t="str">
        <f>"""MO State Treasurer"",""MO State Treasurers Office"",""37001020"",""1"",""2082"""</f>
        <v>"MO State Treasurer","MO State Treasurers Office","37001020","1","2082"</v>
      </c>
      <c r="D717" s="16" t="s">
        <v>12143</v>
      </c>
      <c r="E717" s="16" t="s">
        <v>12144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Office"",""37001020"",""1"",""2089A"""</f>
        <v>"MO State Treasurer","MO State Treasurers Office","37001020","1","2089A"</v>
      </c>
      <c r="D718" s="16" t="s">
        <v>12145</v>
      </c>
      <c r="E718" s="16" t="s">
        <v>12146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Office"",""37001020"",""1"",""2092A"""</f>
        <v>"MO State Treasurer","MO State Treasurers Office","37001020","1","2092A"</v>
      </c>
      <c r="D719" s="16" t="s">
        <v>12147</v>
      </c>
      <c r="E719" s="16" t="s">
        <v>12148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Office"",""37001020"",""1"",""2200"""</f>
        <v>"MO State Treasurer","MO State Treasurers Office","37001020","1","2200"</v>
      </c>
      <c r="D720" s="16" t="s">
        <v>12149</v>
      </c>
      <c r="E720" s="16" t="s">
        <v>12150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Office"",""37001020"",""1"",""2204"""</f>
        <v>"MO State Treasurer","MO State Treasurers Office","37001020","1","2204"</v>
      </c>
      <c r="D721" s="16" t="s">
        <v>12151</v>
      </c>
      <c r="E721" s="16" t="s">
        <v>12152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Office"",""37001020"",""1"",""2208"""</f>
        <v>"MO State Treasurer","MO State Treasurers Office","37001020","1","2208"</v>
      </c>
      <c r="D722" s="16" t="s">
        <v>12153</v>
      </c>
      <c r="E722" s="16" t="s">
        <v>12154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Office"",""37001020"",""1"",""2212"""</f>
        <v>"MO State Treasurer","MO State Treasurers Office","37001020","1","2212"</v>
      </c>
      <c r="D723" s="16" t="s">
        <v>12155</v>
      </c>
      <c r="E723" s="16" t="s">
        <v>12156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Office"",""37001020"",""1"",""2216"""</f>
        <v>"MO State Treasurer","MO State Treasurers Office","37001020","1","2216"</v>
      </c>
      <c r="D724" s="16" t="s">
        <v>12157</v>
      </c>
      <c r="E724" s="16" t="s">
        <v>12158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Office"",""37001020"",""1"",""2220"""</f>
        <v>"MO State Treasurer","MO State Treasurers Office","37001020","1","2220"</v>
      </c>
      <c r="D725" s="16" t="s">
        <v>12159</v>
      </c>
      <c r="E725" s="16" t="s">
        <v>12160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tr">
        <f t="shared" si="11"/>
        <v>hide</v>
      </c>
      <c r="C726" s="17" t="str">
        <f>"""MO State Treasurer"",""MO State Treasurers Office"",""37001020"",""1"",""2224"""</f>
        <v>"MO State Treasurer","MO State Treasurers Office","37001020","1","2224"</v>
      </c>
      <c r="D726" s="16" t="s">
        <v>12161</v>
      </c>
      <c r="E726" s="16" t="s">
        <v>12162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Office"",""37001020"",""1"",""2228"""</f>
        <v>"MO State Treasurer","MO State Treasurers Office","37001020","1","2228"</v>
      </c>
      <c r="D727" s="16" t="s">
        <v>12163</v>
      </c>
      <c r="E727" s="16" t="s">
        <v>12164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Office"",""37001020"",""1"",""2232"""</f>
        <v>"MO State Treasurer","MO State Treasurers Office","37001020","1","2232"</v>
      </c>
      <c r="D728" s="16" t="s">
        <v>12165</v>
      </c>
      <c r="E728" s="16" t="s">
        <v>12166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Office"",""37001020"",""1"",""2236"""</f>
        <v>"MO State Treasurer","MO State Treasurers Office","37001020","1","2236"</v>
      </c>
      <c r="D729" s="16" t="s">
        <v>12167</v>
      </c>
      <c r="E729" s="16" t="s">
        <v>12168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Office"",""37001020"",""1"",""2240"""</f>
        <v>"MO State Treasurer","MO State Treasurers Office","37001020","1","2240"</v>
      </c>
      <c r="D730" s="16" t="s">
        <v>12169</v>
      </c>
      <c r="E730" s="16" t="s">
        <v>12170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Office"",""37001020"",""1"",""2244"""</f>
        <v>"MO State Treasurer","MO State Treasurers Office","37001020","1","2244"</v>
      </c>
      <c r="D731" s="16" t="s">
        <v>12171</v>
      </c>
      <c r="E731" s="16" t="s">
        <v>12172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Office"",""37001020"",""1"",""2248"""</f>
        <v>"MO State Treasurer","MO State Treasurers Office","37001020","1","2248"</v>
      </c>
      <c r="D732" s="16" t="s">
        <v>12173</v>
      </c>
      <c r="E732" s="16" t="s">
        <v>12174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Office"",""37001020"",""1"",""2252"""</f>
        <v>"MO State Treasurer","MO State Treasurers Office","37001020","1","2252"</v>
      </c>
      <c r="D733" s="16" t="s">
        <v>12175</v>
      </c>
      <c r="E733" s="16" t="s">
        <v>12176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tr">
        <f t="shared" si="11"/>
        <v>hide</v>
      </c>
      <c r="C734" s="17" t="str">
        <f>"""MO State Treasurer"",""MO State Treasurers Office"",""37001020"",""1"",""2256"""</f>
        <v>"MO State Treasurer","MO State Treasurers Office","37001020","1","2256"</v>
      </c>
      <c r="D734" s="16" t="s">
        <v>12177</v>
      </c>
      <c r="E734" s="16" t="s">
        <v>12178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tr">
        <f t="shared" si="11"/>
        <v>hide</v>
      </c>
      <c r="C735" s="17" t="str">
        <f>"""MO State Treasurer"",""MO State Treasurers Office"",""37001020"",""1"",""2260"""</f>
        <v>"MO State Treasurer","MO State Treasurers Office","37001020","1","2260"</v>
      </c>
      <c r="D735" s="16" t="s">
        <v>12179</v>
      </c>
      <c r="E735" s="16" t="s">
        <v>12180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tr">
        <f t="shared" si="11"/>
        <v>hide</v>
      </c>
      <c r="C736" s="17" t="str">
        <f>"""MO State Treasurer"",""MO State Treasurers Office"",""37001020"",""1"",""2264"""</f>
        <v>"MO State Treasurer","MO State Treasurers Office","37001020","1","2264"</v>
      </c>
      <c r="D736" s="16" t="s">
        <v>12181</v>
      </c>
      <c r="E736" s="16" t="s">
        <v>12182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tr">
        <f t="shared" si="11"/>
        <v>hide</v>
      </c>
      <c r="C737" s="17" t="str">
        <f>"""MO State Treasurer"",""MO State Treasurers Office"",""37001020"",""1"",""2268"""</f>
        <v>"MO State Treasurer","MO State Treasurers Office","37001020","1","2268"</v>
      </c>
      <c r="D737" s="16" t="s">
        <v>12183</v>
      </c>
      <c r="E737" s="16" t="s">
        <v>12184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Office"",""37001020"",""1"",""2272"""</f>
        <v>"MO State Treasurer","MO State Treasurers Office","37001020","1","2272"</v>
      </c>
      <c r="D738" s="16" t="s">
        <v>12185</v>
      </c>
      <c r="E738" s="16" t="s">
        <v>12186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tr">
        <f t="shared" si="11"/>
        <v>hide</v>
      </c>
      <c r="C739" s="17" t="str">
        <f>"""MO State Treasurer"",""MO State Treasurers Office"",""37001020"",""1"",""2276"""</f>
        <v>"MO State Treasurer","MO State Treasurers Office","37001020","1","2276"</v>
      </c>
      <c r="D739" s="16" t="s">
        <v>12187</v>
      </c>
      <c r="E739" s="16" t="s">
        <v>12188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tr">
        <f t="shared" si="11"/>
        <v>hide</v>
      </c>
      <c r="C740" s="17" t="str">
        <f>"""MO State Treasurer"",""MO State Treasurers Office"",""37001020"",""1"",""2280"""</f>
        <v>"MO State Treasurer","MO State Treasurers Office","37001020","1","2280"</v>
      </c>
      <c r="D740" s="16" t="s">
        <v>12189</v>
      </c>
      <c r="E740" s="16" t="s">
        <v>12190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tr">
        <f t="shared" si="11"/>
        <v>hide</v>
      </c>
      <c r="C741" s="17" t="str">
        <f>"""MO State Treasurer"",""MO State Treasurers Office"",""37001020"",""1"",""2284"""</f>
        <v>"MO State Treasurer","MO State Treasurers Office","37001020","1","2284"</v>
      </c>
      <c r="D741" s="16" t="s">
        <v>12191</v>
      </c>
      <c r="E741" s="16" t="s">
        <v>12192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tr">
        <f t="shared" si="11"/>
        <v>hide</v>
      </c>
      <c r="C742" s="17" t="str">
        <f>"""MO State Treasurer"",""MO State Treasurers Office"",""37001020"",""1"",""2285"""</f>
        <v>"MO State Treasurer","MO State Treasurers Office","37001020","1","2285"</v>
      </c>
      <c r="D742" s="16" t="s">
        <v>12193</v>
      </c>
      <c r="E742" s="16" t="s">
        <v>12194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tr">
        <f t="shared" si="11"/>
        <v>hide</v>
      </c>
      <c r="C743" s="17" t="str">
        <f>"""MO State Treasurer"",""MO State Treasurers Office"",""37001020"",""1"",""2286"""</f>
        <v>"MO State Treasurer","MO State Treasurers Office","37001020","1","2286"</v>
      </c>
      <c r="D743" s="16" t="s">
        <v>12195</v>
      </c>
      <c r="E743" s="16" t="s">
        <v>12196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tr">
        <f t="shared" si="11"/>
        <v>hide</v>
      </c>
      <c r="C744" s="17" t="str">
        <f>"""MO State Treasurer"",""MO State Treasurers Office"",""37001020"",""1"",""2287"""</f>
        <v>"MO State Treasurer","MO State Treasurers Office","37001020","1","2287"</v>
      </c>
      <c r="D744" s="16" t="s">
        <v>12197</v>
      </c>
      <c r="E744" s="16" t="s">
        <v>12198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tr">
        <f t="shared" si="11"/>
        <v>hide</v>
      </c>
      <c r="C745" s="17" t="str">
        <f>"""MO State Treasurer"",""MO State Treasurers Office"",""37001020"",""1"",""2288"""</f>
        <v>"MO State Treasurer","MO State Treasurers Office","37001020","1","2288"</v>
      </c>
      <c r="D745" s="16" t="s">
        <v>12199</v>
      </c>
      <c r="E745" s="16" t="s">
        <v>12200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x14ac:dyDescent="0.25">
      <c r="A746" s="16" t="s">
        <v>51</v>
      </c>
      <c r="B746" s="16" t="str">
        <f t="shared" si="11"/>
        <v>show</v>
      </c>
      <c r="C746" s="17" t="str">
        <f>"""MO State Treasurer"",""MO State Treasurers Office"",""37001020"",""1"",""2292"""</f>
        <v>"MO State Treasurer","MO State Treasurers Office","37001020","1","2292"</v>
      </c>
      <c r="D746" s="16" t="s">
        <v>12201</v>
      </c>
      <c r="E746" s="16" t="s">
        <v>12202</v>
      </c>
      <c r="F746" s="18">
        <v>11.54</v>
      </c>
      <c r="G746" s="18">
        <v>430667.00000000006</v>
      </c>
      <c r="H746" s="18">
        <v>306000</v>
      </c>
      <c r="I746" s="18">
        <v>0</v>
      </c>
      <c r="J746" s="18">
        <v>0</v>
      </c>
      <c r="K746" s="18">
        <v>0</v>
      </c>
      <c r="L746" s="18">
        <v>0</v>
      </c>
      <c r="M746" s="20">
        <v>124678.54</v>
      </c>
      <c r="N746" s="20"/>
      <c r="O746" s="19"/>
    </row>
    <row r="747" spans="1:15" s="16" customFormat="1" hidden="1" x14ac:dyDescent="0.25">
      <c r="A747" s="16" t="s">
        <v>51</v>
      </c>
      <c r="B747" s="16" t="str">
        <f t="shared" si="11"/>
        <v>hide</v>
      </c>
      <c r="C747" s="17" t="str">
        <f>"""MO State Treasurer"",""MO State Treasurers Office"",""37001020"",""1"",""2296"""</f>
        <v>"MO State Treasurer","MO State Treasurers Office","37001020","1","2296"</v>
      </c>
      <c r="D747" s="16" t="s">
        <v>12203</v>
      </c>
      <c r="E747" s="16" t="s">
        <v>12204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x14ac:dyDescent="0.25">
      <c r="A748" s="16" t="s">
        <v>51</v>
      </c>
      <c r="B748" s="16" t="str">
        <f t="shared" si="11"/>
        <v>show</v>
      </c>
      <c r="C748" s="17" t="str">
        <f>"""MO State Treasurer"",""MO State Treasurers Office"",""37001020"",""1"",""2300"""</f>
        <v>"MO State Treasurer","MO State Treasurers Office","37001020","1","2300"</v>
      </c>
      <c r="D748" s="16" t="s">
        <v>12205</v>
      </c>
      <c r="E748" s="16" t="s">
        <v>12206</v>
      </c>
      <c r="F748" s="18">
        <v>25708.5</v>
      </c>
      <c r="G748" s="18">
        <v>6432641.9300000006</v>
      </c>
      <c r="H748" s="18">
        <v>6367608.3300000001</v>
      </c>
      <c r="I748" s="18">
        <v>0</v>
      </c>
      <c r="J748" s="18">
        <v>0</v>
      </c>
      <c r="K748" s="18">
        <v>0</v>
      </c>
      <c r="L748" s="18">
        <v>65033.599999999999</v>
      </c>
      <c r="M748" s="20">
        <v>25708.5</v>
      </c>
      <c r="N748" s="20"/>
      <c r="O748" s="19"/>
    </row>
    <row r="749" spans="1:15" s="16" customFormat="1" x14ac:dyDescent="0.25">
      <c r="A749" s="16" t="s">
        <v>51</v>
      </c>
      <c r="B749" s="16" t="str">
        <f t="shared" si="11"/>
        <v>show</v>
      </c>
      <c r="C749" s="17" t="str">
        <f>"""MO State Treasurer"",""MO State Treasurers Office"",""37001020"",""1"",""2305"""</f>
        <v>"MO State Treasurer","MO State Treasurers Office","37001020","1","2305"</v>
      </c>
      <c r="D749" s="16" t="s">
        <v>12207</v>
      </c>
      <c r="E749" s="16" t="s">
        <v>12208</v>
      </c>
      <c r="F749" s="18">
        <v>0</v>
      </c>
      <c r="G749" s="18">
        <v>18315478.309999999</v>
      </c>
      <c r="H749" s="18">
        <v>18315478.309999999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51</v>
      </c>
      <c r="B750" s="16" t="str">
        <f t="shared" si="11"/>
        <v>hide</v>
      </c>
      <c r="C750" s="17" t="str">
        <f>"""MO State Treasurer"",""MO State Treasurers Office"",""37001020"",""1"",""2310"""</f>
        <v>"MO State Treasurer","MO State Treasurers Office","37001020","1","2310"</v>
      </c>
      <c r="D750" s="16" t="s">
        <v>12209</v>
      </c>
      <c r="E750" s="16" t="s">
        <v>12210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51</v>
      </c>
      <c r="B751" s="16" t="str">
        <f t="shared" si="11"/>
        <v>hide</v>
      </c>
      <c r="C751" s="17" t="str">
        <f>"""MO State Treasurer"",""MO State Treasurers Office"",""37001020"",""1"",""2315"""</f>
        <v>"MO State Treasurer","MO State Treasurers Office","37001020","1","2315"</v>
      </c>
      <c r="D751" s="16" t="s">
        <v>12211</v>
      </c>
      <c r="E751" s="16" t="s">
        <v>12212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51</v>
      </c>
      <c r="B752" s="16" t="str">
        <f t="shared" si="11"/>
        <v>show</v>
      </c>
      <c r="C752" s="17" t="str">
        <f>"""MO State Treasurer"",""MO State Treasurers Office"",""37001020"",""1"",""2320"""</f>
        <v>"MO State Treasurer","MO State Treasurers Office","37001020","1","2320"</v>
      </c>
      <c r="D752" s="16" t="s">
        <v>12213</v>
      </c>
      <c r="E752" s="16" t="s">
        <v>12214</v>
      </c>
      <c r="F752" s="18">
        <v>2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2</v>
      </c>
      <c r="N752" s="20"/>
      <c r="O752" s="19"/>
    </row>
    <row r="753" spans="1:15" s="16" customFormat="1" x14ac:dyDescent="0.25">
      <c r="A753" s="16" t="s">
        <v>51</v>
      </c>
      <c r="B753" s="16" t="str">
        <f t="shared" si="11"/>
        <v>show</v>
      </c>
      <c r="C753" s="17" t="str">
        <f>"""MO State Treasurer"",""MO State Treasurers Office"",""37001020"",""1"",""2325"""</f>
        <v>"MO State Treasurer","MO State Treasurers Office","37001020","1","2325"</v>
      </c>
      <c r="D753" s="16" t="s">
        <v>12215</v>
      </c>
      <c r="E753" s="16" t="s">
        <v>12216</v>
      </c>
      <c r="F753" s="18">
        <v>54067.15</v>
      </c>
      <c r="G753" s="18">
        <v>0</v>
      </c>
      <c r="H753" s="18">
        <v>57396.53</v>
      </c>
      <c r="I753" s="18">
        <v>66711</v>
      </c>
      <c r="J753" s="18">
        <v>33185.15</v>
      </c>
      <c r="K753" s="18">
        <v>0</v>
      </c>
      <c r="L753" s="18">
        <v>50.56</v>
      </c>
      <c r="M753" s="20">
        <v>30145.91</v>
      </c>
      <c r="N753" s="20"/>
      <c r="O753" s="19"/>
    </row>
    <row r="754" spans="1:15" s="16" customFormat="1" x14ac:dyDescent="0.25">
      <c r="A754" s="16" t="s">
        <v>51</v>
      </c>
      <c r="B754" s="16" t="str">
        <f t="shared" si="11"/>
        <v>show</v>
      </c>
      <c r="C754" s="17" t="str">
        <f>"""MO State Treasurer"",""MO State Treasurers Office"",""37001020"",""1"",""2330"""</f>
        <v>"MO State Treasurer","MO State Treasurers Office","37001020","1","2330"</v>
      </c>
      <c r="D754" s="16" t="s">
        <v>12217</v>
      </c>
      <c r="E754" s="16" t="s">
        <v>12218</v>
      </c>
      <c r="F754" s="18">
        <v>1972348.75</v>
      </c>
      <c r="G754" s="18">
        <v>0</v>
      </c>
      <c r="H754" s="18">
        <v>72466.009999999995</v>
      </c>
      <c r="I754" s="18">
        <v>0</v>
      </c>
      <c r="J754" s="18">
        <v>41654.15</v>
      </c>
      <c r="K754" s="18">
        <v>0</v>
      </c>
      <c r="L754" s="18">
        <v>103.53</v>
      </c>
      <c r="M754" s="20">
        <v>1858125.06</v>
      </c>
      <c r="N754" s="20"/>
      <c r="O754" s="19"/>
    </row>
    <row r="755" spans="1:15" s="16" customFormat="1" x14ac:dyDescent="0.25">
      <c r="A755" s="16" t="s">
        <v>51</v>
      </c>
      <c r="B755" s="16" t="str">
        <f t="shared" si="11"/>
        <v>show</v>
      </c>
      <c r="C755" s="17" t="str">
        <f>"""MO State Treasurer"",""MO State Treasurers Office"",""37001020"",""1"",""2335"""</f>
        <v>"MO State Treasurer","MO State Treasurers Office","37001020","1","2335"</v>
      </c>
      <c r="D755" s="16" t="s">
        <v>12219</v>
      </c>
      <c r="E755" s="16" t="s">
        <v>12220</v>
      </c>
      <c r="F755" s="18">
        <v>1212550070.0799999</v>
      </c>
      <c r="G755" s="18">
        <v>569391.94000000006</v>
      </c>
      <c r="H755" s="18">
        <v>-20191144.670000002</v>
      </c>
      <c r="I755" s="18">
        <v>0</v>
      </c>
      <c r="J755" s="18">
        <v>1580315.1099999999</v>
      </c>
      <c r="K755" s="18">
        <v>0</v>
      </c>
      <c r="L755" s="18">
        <v>127027.82</v>
      </c>
      <c r="M755" s="20">
        <v>1231603263.76</v>
      </c>
      <c r="N755" s="20"/>
      <c r="O755" s="19"/>
    </row>
    <row r="756" spans="1:15" s="16" customFormat="1" x14ac:dyDescent="0.25">
      <c r="A756" s="16" t="s">
        <v>51</v>
      </c>
      <c r="B756" s="16" t="str">
        <f t="shared" si="11"/>
        <v>show</v>
      </c>
      <c r="C756" s="17" t="str">
        <f>"""MO State Treasurer"",""MO State Treasurers Office"",""37001020"",""1"",""2340"""</f>
        <v>"MO State Treasurer","MO State Treasurers Office","37001020","1","2340"</v>
      </c>
      <c r="D756" s="16" t="s">
        <v>12221</v>
      </c>
      <c r="E756" s="16" t="s">
        <v>12222</v>
      </c>
      <c r="F756" s="18">
        <v>9176380.620000001</v>
      </c>
      <c r="G756" s="18">
        <v>0</v>
      </c>
      <c r="H756" s="18">
        <v>2032488.36</v>
      </c>
      <c r="I756" s="18">
        <v>0</v>
      </c>
      <c r="J756" s="18">
        <v>1221008.04</v>
      </c>
      <c r="K756" s="18">
        <v>0</v>
      </c>
      <c r="L756" s="18">
        <v>5350.68</v>
      </c>
      <c r="M756" s="20">
        <v>5917533.54</v>
      </c>
      <c r="N756" s="20"/>
      <c r="O756" s="19"/>
    </row>
    <row r="757" spans="1:15" s="16" customFormat="1" x14ac:dyDescent="0.25">
      <c r="A757" s="16" t="s">
        <v>51</v>
      </c>
      <c r="B757" s="16" t="str">
        <f t="shared" si="11"/>
        <v>show</v>
      </c>
      <c r="C757" s="17" t="str">
        <f>"""MO State Treasurer"",""MO State Treasurers Office"",""37001020"",""1"",""2345"""</f>
        <v>"MO State Treasurer","MO State Treasurers Office","37001020","1","2345"</v>
      </c>
      <c r="D757" s="16" t="s">
        <v>12223</v>
      </c>
      <c r="E757" s="16" t="s">
        <v>12224</v>
      </c>
      <c r="F757" s="18">
        <v>6306160.0899999999</v>
      </c>
      <c r="G757" s="18">
        <v>9048853.1899999995</v>
      </c>
      <c r="H757" s="18">
        <v>1836285.3599999999</v>
      </c>
      <c r="I757" s="18">
        <v>725786</v>
      </c>
      <c r="J757" s="18">
        <v>995837.5</v>
      </c>
      <c r="K757" s="18">
        <v>0</v>
      </c>
      <c r="L757" s="18">
        <v>2963.39</v>
      </c>
      <c r="M757" s="20">
        <v>13245713.030000001</v>
      </c>
      <c r="N757" s="20"/>
      <c r="O757" s="19"/>
    </row>
    <row r="758" spans="1:15" s="16" customFormat="1" x14ac:dyDescent="0.25">
      <c r="A758" s="16" t="s">
        <v>51</v>
      </c>
      <c r="B758" s="16" t="str">
        <f t="shared" si="11"/>
        <v>show</v>
      </c>
      <c r="C758" s="17" t="str">
        <f>"""MO State Treasurer"",""MO State Treasurers Office"",""37001020"",""1"",""2350"""</f>
        <v>"MO State Treasurer","MO State Treasurers Office","37001020","1","2350"</v>
      </c>
      <c r="D758" s="16" t="s">
        <v>12225</v>
      </c>
      <c r="E758" s="16" t="s">
        <v>12226</v>
      </c>
      <c r="F758" s="18">
        <v>585676.85</v>
      </c>
      <c r="G758" s="18">
        <v>1768178.5199999998</v>
      </c>
      <c r="H758" s="18">
        <v>1661445.04</v>
      </c>
      <c r="I758" s="18">
        <v>0</v>
      </c>
      <c r="J758" s="18">
        <v>0</v>
      </c>
      <c r="K758" s="18">
        <v>0</v>
      </c>
      <c r="L758" s="18">
        <v>155.54999999999998</v>
      </c>
      <c r="M758" s="20">
        <v>692254.78</v>
      </c>
      <c r="N758" s="20"/>
      <c r="O758" s="19"/>
    </row>
    <row r="759" spans="1:15" s="16" customFormat="1" x14ac:dyDescent="0.25">
      <c r="A759" s="16" t="s">
        <v>51</v>
      </c>
      <c r="B759" s="16" t="str">
        <f t="shared" si="11"/>
        <v>show</v>
      </c>
      <c r="C759" s="17" t="str">
        <f>"""MO State Treasurer"",""MO State Treasurers Office"",""37001020"",""1"",""2355"""</f>
        <v>"MO State Treasurer","MO State Treasurers Office","37001020","1","2355"</v>
      </c>
      <c r="D759" s="16" t="s">
        <v>12227</v>
      </c>
      <c r="E759" s="16" t="s">
        <v>12228</v>
      </c>
      <c r="F759" s="18">
        <v>978440.28</v>
      </c>
      <c r="G759" s="18">
        <v>5653115.9900000002</v>
      </c>
      <c r="H759" s="18">
        <v>5837391.2999999998</v>
      </c>
      <c r="I759" s="18">
        <v>0</v>
      </c>
      <c r="J759" s="18">
        <v>75461.909999999989</v>
      </c>
      <c r="K759" s="18">
        <v>0</v>
      </c>
      <c r="L759" s="18">
        <v>203.48000000000002</v>
      </c>
      <c r="M759" s="20">
        <v>718499.58000000007</v>
      </c>
      <c r="N759" s="20"/>
      <c r="O759" s="19"/>
    </row>
    <row r="760" spans="1:15" s="16" customFormat="1" hidden="1" x14ac:dyDescent="0.25">
      <c r="A760" s="16" t="s">
        <v>51</v>
      </c>
      <c r="B760" s="16" t="str">
        <f t="shared" si="11"/>
        <v>hide</v>
      </c>
      <c r="C760" s="17" t="str">
        <f>"""MO State Treasurer"",""MO State Treasurers Office"",""37001020"",""1"",""2360"""</f>
        <v>"MO State Treasurer","MO State Treasurers Office","37001020","1","2360"</v>
      </c>
      <c r="D760" s="16" t="s">
        <v>12229</v>
      </c>
      <c r="E760" s="16" t="s">
        <v>12230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51</v>
      </c>
      <c r="B761" s="16" t="str">
        <f t="shared" si="11"/>
        <v>hide</v>
      </c>
      <c r="C761" s="17" t="str">
        <f>"""MO State Treasurer"",""MO State Treasurers Office"",""37001020"",""1"",""2365"""</f>
        <v>"MO State Treasurer","MO State Treasurers Office","37001020","1","2365"</v>
      </c>
      <c r="D761" s="16" t="s">
        <v>12231</v>
      </c>
      <c r="E761" s="16" t="s">
        <v>12232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51</v>
      </c>
      <c r="B762" s="16" t="str">
        <f t="shared" si="11"/>
        <v>hide</v>
      </c>
      <c r="C762" s="17" t="str">
        <f>"""MO State Treasurer"",""MO State Treasurers Office"",""37001020"",""1"",""2370"""</f>
        <v>"MO State Treasurer","MO State Treasurers Office","37001020","1","2370"</v>
      </c>
      <c r="D762" s="16" t="s">
        <v>12233</v>
      </c>
      <c r="E762" s="16" t="s">
        <v>12234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x14ac:dyDescent="0.25">
      <c r="A763" s="16" t="s">
        <v>51</v>
      </c>
      <c r="B763" s="16" t="str">
        <f t="shared" si="11"/>
        <v>show</v>
      </c>
      <c r="C763" s="17" t="str">
        <f>"""MO State Treasurer"",""MO State Treasurers Office"",""37001020"",""1"",""2375"""</f>
        <v>"MO State Treasurer","MO State Treasurers Office","37001020","1","2375"</v>
      </c>
      <c r="D763" s="16" t="s">
        <v>12235</v>
      </c>
      <c r="E763" s="16" t="s">
        <v>12236</v>
      </c>
      <c r="F763" s="18">
        <v>495140.63999999996</v>
      </c>
      <c r="G763" s="18">
        <v>0</v>
      </c>
      <c r="H763" s="18">
        <v>38710.69</v>
      </c>
      <c r="I763" s="18">
        <v>0</v>
      </c>
      <c r="J763" s="18">
        <v>16382.859999999999</v>
      </c>
      <c r="K763" s="18">
        <v>0</v>
      </c>
      <c r="L763" s="18">
        <v>4.28</v>
      </c>
      <c r="M763" s="20">
        <v>440042.81</v>
      </c>
      <c r="N763" s="20"/>
      <c r="O763" s="19"/>
    </row>
    <row r="764" spans="1:15" s="16" customFormat="1" hidden="1" x14ac:dyDescent="0.25">
      <c r="A764" s="16" t="s">
        <v>51</v>
      </c>
      <c r="B764" s="16" t="str">
        <f t="shared" si="11"/>
        <v>show</v>
      </c>
      <c r="C764" s="17" t="str">
        <f>"""MO State Treasurer"",""MO State Treasurers Office"",""37001020"",""1"",""2380"""</f>
        <v>"MO State Treasurer","MO State Treasurers Office","37001020","1","2380"</v>
      </c>
      <c r="D764" s="16" t="s">
        <v>12237</v>
      </c>
      <c r="E764" s="16" t="s">
        <v>12238</v>
      </c>
      <c r="F764" s="18">
        <v>0</v>
      </c>
      <c r="G764" s="18">
        <v>0</v>
      </c>
      <c r="H764" s="18">
        <v>-522.12</v>
      </c>
      <c r="I764" s="18">
        <v>0</v>
      </c>
      <c r="J764" s="18">
        <v>0</v>
      </c>
      <c r="K764" s="18">
        <v>0</v>
      </c>
      <c r="L764" s="18">
        <v>0</v>
      </c>
      <c r="M764" s="20">
        <v>522.12</v>
      </c>
      <c r="N764" s="20"/>
      <c r="O764" s="19"/>
    </row>
    <row r="765" spans="1:15" s="16" customFormat="1" x14ac:dyDescent="0.25">
      <c r="A765" s="16" t="s">
        <v>51</v>
      </c>
      <c r="B765" s="16" t="str">
        <f t="shared" si="11"/>
        <v>show</v>
      </c>
      <c r="C765" s="17" t="str">
        <f>"""MO State Treasurer"",""MO State Treasurers Office"",""37001020"",""1"",""2385"""</f>
        <v>"MO State Treasurer","MO State Treasurers Office","37001020","1","2385"</v>
      </c>
      <c r="D765" s="16" t="s">
        <v>12239</v>
      </c>
      <c r="E765" s="16" t="s">
        <v>12240</v>
      </c>
      <c r="F765" s="18">
        <v>0</v>
      </c>
      <c r="G765" s="18">
        <v>3930918.22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3930918.22</v>
      </c>
      <c r="N765" s="20"/>
      <c r="O765" s="19"/>
    </row>
    <row r="766" spans="1:15" s="16" customFormat="1" hidden="1" x14ac:dyDescent="0.25">
      <c r="A766" s="16" t="s">
        <v>51</v>
      </c>
      <c r="B766" s="16" t="str">
        <f t="shared" si="11"/>
        <v>hide</v>
      </c>
      <c r="C766" s="17" t="str">
        <f>"""MO State Treasurer"",""MO State Treasurers Office"",""37001020"",""1"",""2390"""</f>
        <v>"MO State Treasurer","MO State Treasurers Office","37001020","1","2390"</v>
      </c>
      <c r="D766" s="16" t="s">
        <v>12241</v>
      </c>
      <c r="E766" s="16" t="s">
        <v>12242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hidden="1" x14ac:dyDescent="0.25">
      <c r="A767" s="16" t="s">
        <v>51</v>
      </c>
      <c r="B767" s="16" t="str">
        <f t="shared" si="11"/>
        <v>hide</v>
      </c>
      <c r="C767" s="17" t="str">
        <f>"""MO State Treasurer"",""MO State Treasurers Office"",""37001020"",""1"",""2395"""</f>
        <v>"MO State Treasurer","MO State Treasurers Office","37001020","1","2395"</v>
      </c>
      <c r="D767" s="16" t="s">
        <v>12243</v>
      </c>
      <c r="E767" s="16" t="s">
        <v>12244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51</v>
      </c>
      <c r="B768" s="16" t="str">
        <f t="shared" si="11"/>
        <v>hide</v>
      </c>
      <c r="C768" s="17" t="str">
        <f>"""MO State Treasurer"",""MO State Treasurers Office"",""37001020"",""1"",""9007"""</f>
        <v>"MO State Treasurer","MO State Treasurers Office","37001020","1","9007"</v>
      </c>
      <c r="D768" s="16" t="s">
        <v>12245</v>
      </c>
      <c r="E768" s="16" t="s">
        <v>12246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tr">
        <f t="shared" si="11"/>
        <v>hide</v>
      </c>
      <c r="C769" s="17" t="str">
        <f>"""MO State Treasurer"",""MO State Treasurers Office"",""37001020"",""1"",""9009A"""</f>
        <v>"MO State Treasurer","MO State Treasurers Office","37001020","1","9009A"</v>
      </c>
      <c r="D769" s="16" t="s">
        <v>12247</v>
      </c>
      <c r="E769" s="16" t="s">
        <v>12248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tr">
        <f t="shared" si="11"/>
        <v>hide</v>
      </c>
      <c r="C770" s="17" t="str">
        <f>"""MO State Treasurer"",""MO State Treasurers Office"",""37001020"",""1"",""9010A"""</f>
        <v>"MO State Treasurer","MO State Treasurers Office","37001020","1","9010A"</v>
      </c>
      <c r="D770" s="16" t="s">
        <v>12249</v>
      </c>
      <c r="E770" s="16" t="s">
        <v>12250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tr">
        <f t="shared" si="11"/>
        <v>hide</v>
      </c>
      <c r="C771" s="17" t="str">
        <f>"""MO State Treasurer"",""MO State Treasurers Office"",""37001020"",""1"",""9011"""</f>
        <v>"MO State Treasurer","MO State Treasurers Office","37001020","1","9011"</v>
      </c>
      <c r="D771" s="16" t="s">
        <v>12251</v>
      </c>
      <c r="E771" s="16" t="s">
        <v>12252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tr">
        <f t="shared" si="11"/>
        <v>hide</v>
      </c>
      <c r="C772" s="17" t="str">
        <f>"""MO State Treasurer"",""MO State Treasurers Office"",""37001020"",""1"",""9015"""</f>
        <v>"MO State Treasurer","MO State Treasurers Office","37001020","1","9015"</v>
      </c>
      <c r="D772" s="16" t="s">
        <v>12253</v>
      </c>
      <c r="E772" s="16" t="s">
        <v>12254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tr">
        <f t="shared" si="11"/>
        <v>hide</v>
      </c>
      <c r="C773" s="17" t="str">
        <f>"""MO State Treasurer"",""MO State Treasurers Office"",""37001020"",""1"",""9020"""</f>
        <v>"MO State Treasurer","MO State Treasurers Office","37001020","1","9020"</v>
      </c>
      <c r="D773" s="16" t="s">
        <v>12255</v>
      </c>
      <c r="E773" s="16" t="s">
        <v>12256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x14ac:dyDescent="0.25">
      <c r="C774" s="17"/>
      <c r="F774" s="18">
        <v>5962621947.4600019</v>
      </c>
      <c r="G774" s="18">
        <v>2894086274.599998</v>
      </c>
      <c r="H774" s="18">
        <v>2301839765.79</v>
      </c>
      <c r="I774" s="18">
        <v>567231530.48999977</v>
      </c>
      <c r="J774" s="18">
        <v>567231530.49000025</v>
      </c>
      <c r="K774" s="18">
        <v>15327069.169999996</v>
      </c>
      <c r="L774" s="18">
        <v>15425200.440000003</v>
      </c>
      <c r="M774" s="20">
        <v>6554770324.9999962</v>
      </c>
      <c r="N774" s="20"/>
      <c r="O774" s="19"/>
    </row>
    <row r="775" spans="1:15" s="16" customFormat="1" x14ac:dyDescent="0.25">
      <c r="C775" s="17"/>
      <c r="F775" s="18"/>
      <c r="G775" s="18"/>
      <c r="H775" s="18"/>
      <c r="I775" s="18"/>
      <c r="J775" s="18"/>
      <c r="K775" s="18"/>
      <c r="L775" s="18"/>
      <c r="M775" s="20"/>
      <c r="N775" s="20"/>
      <c r="O775" s="19"/>
    </row>
    <row r="776" spans="1:15" s="16" customFormat="1" x14ac:dyDescent="0.25">
      <c r="A776" s="16" t="s">
        <v>51</v>
      </c>
      <c r="B776" s="16" t="str">
        <f t="shared" si="11"/>
        <v>show</v>
      </c>
      <c r="C776" s="17" t="str">
        <f>"""MO State Treasurer"",""MO State Treasurers Office"",""37001020"",""1"",""9997"""</f>
        <v>"MO State Treasurer","MO State Treasurers Office","37001020","1","9997"</v>
      </c>
      <c r="D776" s="16" t="s">
        <v>12257</v>
      </c>
      <c r="E776" s="16" t="s">
        <v>12258</v>
      </c>
      <c r="F776" s="18">
        <v>529.30999999999995</v>
      </c>
      <c r="G776" s="18">
        <v>1186.8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1716.11</v>
      </c>
      <c r="N776" s="20"/>
      <c r="O776" s="19"/>
    </row>
    <row r="777" spans="1:15" s="16" customFormat="1" hidden="1" x14ac:dyDescent="0.25">
      <c r="A777" s="16" t="s">
        <v>51</v>
      </c>
      <c r="B777" s="16" t="str">
        <f t="shared" si="11"/>
        <v>hide</v>
      </c>
      <c r="C777" s="17" t="str">
        <f>"""MO State Treasurer"",""MO State Treasurers Office"",""37001020"",""1"",""9998"""</f>
        <v>"MO State Treasurer","MO State Treasurers Office","37001020","1","9998"</v>
      </c>
      <c r="D777" s="16" t="s">
        <v>12259</v>
      </c>
      <c r="E777" s="16" t="s">
        <v>12260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20">
        <v>0</v>
      </c>
      <c r="N777" s="20"/>
      <c r="O777" s="19"/>
    </row>
    <row r="778" spans="1:15" s="16" customFormat="1" x14ac:dyDescent="0.25">
      <c r="C778" s="17"/>
      <c r="F778" s="18"/>
      <c r="G778" s="18"/>
      <c r="H778" s="18"/>
      <c r="I778" s="18"/>
      <c r="J778" s="18"/>
      <c r="K778" s="18"/>
      <c r="L778" s="18"/>
      <c r="M778" s="20"/>
      <c r="N778" s="20"/>
      <c r="O778" s="19"/>
    </row>
    <row r="779" spans="1:15" x14ac:dyDescent="0.25">
      <c r="D779" t="s">
        <v>23</v>
      </c>
    </row>
    <row r="780" spans="1:15" x14ac:dyDescent="0.25">
      <c r="D780" t="s">
        <v>24</v>
      </c>
      <c r="F780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10667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10738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10667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10738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0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10667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10738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10668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10669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10670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4142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4149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4156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4163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4170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4177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4184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4191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4198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4205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4212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4219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4226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4233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4240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4247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4254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4261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4268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4275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4282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4289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4296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4303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4310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4317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4324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4331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4338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4345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4352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4359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4366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4373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4380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4387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4394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4401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4408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4415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4422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4429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4436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4443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4450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4457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4464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4471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4478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4485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4492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4499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4506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4513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4520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4527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4534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4541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4548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4555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4562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4569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4576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4583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4590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4597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4604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4611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4618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4625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4632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4639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4646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4653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4660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4667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4674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4681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4688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4695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4702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4709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4716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4723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4730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4737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4744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4751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4758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4765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4772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4779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4786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4793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4800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4807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4814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4821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4828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4835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4842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4849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4856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4863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4870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4877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4884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4891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4898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4905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4912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4919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4926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4933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4940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4947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4954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4961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4968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4975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4982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4989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4996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5003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5010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5017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5024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5031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5038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5045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5052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5059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5066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5073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5080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5087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5094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5101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5108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5115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5122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5129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5136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5143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5150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5157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5164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5171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5178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5185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5192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5199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5206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5213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5220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5227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5234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5241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5248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5255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5262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5269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5276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5283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5290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10671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10672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5297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5304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5311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10673</v>
      </c>
      <c r="C771" s="21" t="s">
        <v>5318</v>
      </c>
      <c r="D771" s="21" t="s">
        <v>10703</v>
      </c>
      <c r="E771" s="21" t="s">
        <v>10733</v>
      </c>
      <c r="F771" s="21" t="s">
        <v>10708</v>
      </c>
      <c r="G771" s="21" t="s">
        <v>10674</v>
      </c>
      <c r="H771" s="21" t="s">
        <v>10713</v>
      </c>
      <c r="I771" s="21" t="s">
        <v>10675</v>
      </c>
      <c r="J771" s="21" t="s">
        <v>10718</v>
      </c>
      <c r="K771" s="21" t="s">
        <v>10676</v>
      </c>
      <c r="L771" s="21" t="s">
        <v>10723</v>
      </c>
      <c r="M771" s="21" t="s">
        <v>10728</v>
      </c>
      <c r="N771" s="21" t="s">
        <v>10677</v>
      </c>
      <c r="O771" s="21" t="s">
        <v>10678</v>
      </c>
    </row>
    <row r="772" spans="1:15" x14ac:dyDescent="0.25">
      <c r="A772" s="21" t="s">
        <v>51</v>
      </c>
      <c r="B772" s="21" t="s">
        <v>10679</v>
      </c>
      <c r="C772" s="21" t="s">
        <v>5325</v>
      </c>
      <c r="D772" s="21" t="s">
        <v>10704</v>
      </c>
      <c r="E772" s="21" t="s">
        <v>10734</v>
      </c>
      <c r="F772" s="21" t="s">
        <v>10709</v>
      </c>
      <c r="G772" s="21" t="s">
        <v>10680</v>
      </c>
      <c r="H772" s="21" t="s">
        <v>10714</v>
      </c>
      <c r="I772" s="21" t="s">
        <v>10681</v>
      </c>
      <c r="J772" s="21" t="s">
        <v>10719</v>
      </c>
      <c r="K772" s="21" t="s">
        <v>10682</v>
      </c>
      <c r="L772" s="21" t="s">
        <v>10724</v>
      </c>
      <c r="M772" s="21" t="s">
        <v>10729</v>
      </c>
      <c r="N772" s="21" t="s">
        <v>10683</v>
      </c>
      <c r="O772" s="21" t="s">
        <v>10684</v>
      </c>
    </row>
    <row r="773" spans="1:15" x14ac:dyDescent="0.25">
      <c r="A773" s="21" t="s">
        <v>51</v>
      </c>
      <c r="B773" s="21" t="s">
        <v>10685</v>
      </c>
      <c r="C773" s="21" t="s">
        <v>5332</v>
      </c>
      <c r="D773" s="21" t="s">
        <v>10705</v>
      </c>
      <c r="E773" s="21" t="s">
        <v>10735</v>
      </c>
      <c r="F773" s="21" t="s">
        <v>10710</v>
      </c>
      <c r="G773" s="21" t="s">
        <v>10686</v>
      </c>
      <c r="H773" s="21" t="s">
        <v>10715</v>
      </c>
      <c r="I773" s="21" t="s">
        <v>10687</v>
      </c>
      <c r="J773" s="21" t="s">
        <v>10720</v>
      </c>
      <c r="K773" s="21" t="s">
        <v>10688</v>
      </c>
      <c r="L773" s="21" t="s">
        <v>10725</v>
      </c>
      <c r="M773" s="21" t="s">
        <v>10730</v>
      </c>
      <c r="N773" s="21" t="s">
        <v>10689</v>
      </c>
      <c r="O773" s="21" t="s">
        <v>10690</v>
      </c>
    </row>
    <row r="774" spans="1:15" x14ac:dyDescent="0.25">
      <c r="A774" s="21" t="s">
        <v>51</v>
      </c>
      <c r="B774" s="21" t="s">
        <v>10691</v>
      </c>
      <c r="C774" s="21" t="s">
        <v>5339</v>
      </c>
      <c r="D774" s="21" t="s">
        <v>10706</v>
      </c>
      <c r="E774" s="21" t="s">
        <v>10736</v>
      </c>
      <c r="F774" s="21" t="s">
        <v>10711</v>
      </c>
      <c r="G774" s="21" t="s">
        <v>10692</v>
      </c>
      <c r="H774" s="21" t="s">
        <v>10716</v>
      </c>
      <c r="I774" s="21" t="s">
        <v>10693</v>
      </c>
      <c r="J774" s="21" t="s">
        <v>10721</v>
      </c>
      <c r="K774" s="21" t="s">
        <v>10694</v>
      </c>
      <c r="L774" s="21" t="s">
        <v>10726</v>
      </c>
      <c r="M774" s="21" t="s">
        <v>10731</v>
      </c>
      <c r="N774" s="21" t="s">
        <v>10695</v>
      </c>
      <c r="O774" s="21" t="s">
        <v>10696</v>
      </c>
    </row>
    <row r="775" spans="1:15" x14ac:dyDescent="0.25">
      <c r="A775" s="21" t="s">
        <v>51</v>
      </c>
      <c r="B775" s="21" t="s">
        <v>10697</v>
      </c>
      <c r="C775" s="21" t="s">
        <v>5346</v>
      </c>
      <c r="D775" s="21" t="s">
        <v>10707</v>
      </c>
      <c r="E775" s="21" t="s">
        <v>10737</v>
      </c>
      <c r="F775" s="21" t="s">
        <v>10712</v>
      </c>
      <c r="G775" s="21" t="s">
        <v>10698</v>
      </c>
      <c r="H775" s="21" t="s">
        <v>10717</v>
      </c>
      <c r="I775" s="21" t="s">
        <v>10699</v>
      </c>
      <c r="J775" s="21" t="s">
        <v>10722</v>
      </c>
      <c r="K775" s="21" t="s">
        <v>10700</v>
      </c>
      <c r="L775" s="21" t="s">
        <v>10727</v>
      </c>
      <c r="M775" s="21" t="s">
        <v>10732</v>
      </c>
      <c r="N775" s="21" t="s">
        <v>10701</v>
      </c>
      <c r="O775" s="21" t="s">
        <v>10702</v>
      </c>
    </row>
    <row r="812" spans="4:6" x14ac:dyDescent="0.25">
      <c r="D812" s="21" t="s">
        <v>23</v>
      </c>
    </row>
    <row r="813" spans="4:6" x14ac:dyDescent="0.25">
      <c r="D813" s="21" t="s">
        <v>24</v>
      </c>
      <c r="F813" s="21" t="s">
        <v>49</v>
      </c>
    </row>
    <row r="815" spans="4:6" x14ac:dyDescent="0.25">
      <c r="D815" s="21" t="s">
        <v>23</v>
      </c>
    </row>
    <row r="816" spans="4:6" x14ac:dyDescent="0.25">
      <c r="D816" s="21" t="s">
        <v>24</v>
      </c>
      <c r="F816" s="21" t="s">
        <v>49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49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49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49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49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49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49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49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49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49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49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49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49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49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49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49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49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49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49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49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49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49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49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49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49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49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49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49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49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49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49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49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49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49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49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49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49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49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49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49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24</v>
      </c>
      <c r="F937" s="21" t="s">
        <v>49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49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49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0" spans="4:6" x14ac:dyDescent="0.25">
      <c r="D950" s="21" t="s">
        <v>24</v>
      </c>
      <c r="F950" s="21" t="s">
        <v>49</v>
      </c>
    </row>
    <row r="952" spans="4:6" x14ac:dyDescent="0.25">
      <c r="D952" s="21" t="s">
        <v>23</v>
      </c>
    </row>
    <row r="953" spans="4:6" x14ac:dyDescent="0.25">
      <c r="D953" s="21" t="s">
        <v>24</v>
      </c>
      <c r="F953" s="21" t="s">
        <v>49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49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49</v>
      </c>
    </row>
    <row r="961" spans="4:6" x14ac:dyDescent="0.25">
      <c r="D961" s="21" t="s">
        <v>23</v>
      </c>
    </row>
    <row r="962" spans="4:6" x14ac:dyDescent="0.25">
      <c r="D962" s="21" t="s">
        <v>24</v>
      </c>
      <c r="F962" s="21" t="s">
        <v>49</v>
      </c>
    </row>
    <row r="964" spans="4:6" x14ac:dyDescent="0.25">
      <c r="D964" s="21" t="s">
        <v>23</v>
      </c>
    </row>
    <row r="965" spans="4:6" x14ac:dyDescent="0.25">
      <c r="D965" s="21" t="s">
        <v>24</v>
      </c>
      <c r="F965" s="21" t="s">
        <v>49</v>
      </c>
    </row>
    <row r="967" spans="4:6" x14ac:dyDescent="0.25">
      <c r="D967" s="21" t="s">
        <v>23</v>
      </c>
    </row>
    <row r="968" spans="4:6" x14ac:dyDescent="0.25">
      <c r="D968" s="21" t="s">
        <v>24</v>
      </c>
      <c r="F968" s="21" t="s">
        <v>49</v>
      </c>
    </row>
    <row r="970" spans="4:6" x14ac:dyDescent="0.25">
      <c r="D970" s="21" t="s">
        <v>23</v>
      </c>
    </row>
    <row r="971" spans="4:6" x14ac:dyDescent="0.25">
      <c r="D971" s="21" t="s">
        <v>24</v>
      </c>
      <c r="F971" s="21" t="s">
        <v>49</v>
      </c>
    </row>
    <row r="973" spans="4:6" x14ac:dyDescent="0.25">
      <c r="D973" s="21" t="s">
        <v>23</v>
      </c>
    </row>
    <row r="974" spans="4:6" x14ac:dyDescent="0.25">
      <c r="D974" s="21" t="s">
        <v>24</v>
      </c>
      <c r="F974" s="21" t="s">
        <v>49</v>
      </c>
    </row>
    <row r="976" spans="4:6" x14ac:dyDescent="0.25">
      <c r="D976" s="21" t="s">
        <v>23</v>
      </c>
    </row>
    <row r="977" spans="4:6" x14ac:dyDescent="0.25">
      <c r="D977" s="21" t="s">
        <v>24</v>
      </c>
      <c r="F977" s="21" t="s">
        <v>49</v>
      </c>
    </row>
    <row r="979" spans="4:6" x14ac:dyDescent="0.25">
      <c r="D979" s="21" t="s">
        <v>23</v>
      </c>
    </row>
    <row r="980" spans="4:6" x14ac:dyDescent="0.25">
      <c r="D980" s="21" t="s">
        <v>24</v>
      </c>
      <c r="F980" s="21" t="s">
        <v>49</v>
      </c>
    </row>
    <row r="982" spans="4:6" x14ac:dyDescent="0.25">
      <c r="D982" s="21" t="s">
        <v>23</v>
      </c>
    </row>
    <row r="983" spans="4:6" x14ac:dyDescent="0.25">
      <c r="D983" s="21" t="s">
        <v>24</v>
      </c>
      <c r="F983" s="21" t="s">
        <v>49</v>
      </c>
    </row>
    <row r="985" spans="4:6" x14ac:dyDescent="0.25">
      <c r="D985" s="21" t="s">
        <v>23</v>
      </c>
    </row>
    <row r="986" spans="4:6" x14ac:dyDescent="0.25">
      <c r="D986" s="21" t="s">
        <v>24</v>
      </c>
      <c r="F986" s="21" t="s">
        <v>49</v>
      </c>
    </row>
    <row r="988" spans="4:6" x14ac:dyDescent="0.25">
      <c r="D988" s="21" t="s">
        <v>23</v>
      </c>
    </row>
    <row r="989" spans="4:6" x14ac:dyDescent="0.25">
      <c r="D989" s="21" t="s">
        <v>24</v>
      </c>
      <c r="F989" s="21" t="s">
        <v>49</v>
      </c>
    </row>
    <row r="991" spans="4:6" x14ac:dyDescent="0.25">
      <c r="D991" s="21" t="s">
        <v>23</v>
      </c>
    </row>
    <row r="992" spans="4:6" x14ac:dyDescent="0.25">
      <c r="D992" s="21" t="s">
        <v>24</v>
      </c>
      <c r="F992" s="21" t="s">
        <v>49</v>
      </c>
    </row>
    <row r="994" spans="4:6" x14ac:dyDescent="0.25">
      <c r="D994" s="21" t="s">
        <v>23</v>
      </c>
    </row>
    <row r="995" spans="4:6" x14ac:dyDescent="0.25">
      <c r="D995" s="21" t="s">
        <v>24</v>
      </c>
      <c r="F995" s="21" t="s">
        <v>49</v>
      </c>
    </row>
    <row r="997" spans="4:6" x14ac:dyDescent="0.25">
      <c r="D997" s="21" t="s">
        <v>23</v>
      </c>
    </row>
    <row r="998" spans="4:6" x14ac:dyDescent="0.25">
      <c r="D998" s="21" t="s">
        <v>24</v>
      </c>
      <c r="F998" s="21" t="s">
        <v>49</v>
      </c>
    </row>
    <row r="1000" spans="4:6" x14ac:dyDescent="0.25">
      <c r="D1000" s="21" t="s">
        <v>23</v>
      </c>
    </row>
    <row r="1001" spans="4:6" x14ac:dyDescent="0.25">
      <c r="D1001" s="21" t="s">
        <v>24</v>
      </c>
      <c r="F1001" s="21" t="s">
        <v>49</v>
      </c>
    </row>
    <row r="1003" spans="4:6" x14ac:dyDescent="0.25">
      <c r="D1003" s="21" t="s">
        <v>23</v>
      </c>
    </row>
    <row r="1004" spans="4:6" x14ac:dyDescent="0.25">
      <c r="D1004" s="21" t="s">
        <v>24</v>
      </c>
      <c r="F1004" s="21" t="s">
        <v>49</v>
      </c>
    </row>
    <row r="1006" spans="4:6" x14ac:dyDescent="0.25">
      <c r="D1006" s="21" t="s">
        <v>23</v>
      </c>
    </row>
    <row r="1007" spans="4:6" x14ac:dyDescent="0.25">
      <c r="D1007" s="21" t="s">
        <v>24</v>
      </c>
      <c r="F1007" s="21" t="s">
        <v>49</v>
      </c>
    </row>
    <row r="1009" spans="4:6" x14ac:dyDescent="0.25">
      <c r="D1009" s="21" t="s">
        <v>23</v>
      </c>
    </row>
    <row r="1010" spans="4:6" x14ac:dyDescent="0.25">
      <c r="D1010" s="21" t="s">
        <v>24</v>
      </c>
      <c r="F1010" s="21" t="s">
        <v>49</v>
      </c>
    </row>
    <row r="1012" spans="4:6" x14ac:dyDescent="0.25">
      <c r="D1012" s="21" t="s">
        <v>23</v>
      </c>
    </row>
    <row r="1013" spans="4:6" x14ac:dyDescent="0.25">
      <c r="D1013" s="21" t="s">
        <v>24</v>
      </c>
      <c r="F1013" s="21" t="s">
        <v>49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2020-08-03T14:16:08Z</cp:lastPrinted>
  <dcterms:created xsi:type="dcterms:W3CDTF">2009-06-26T18:23:00Z</dcterms:created>
  <dcterms:modified xsi:type="dcterms:W3CDTF">2020-08-03T14:16:10Z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