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216" state="veryHidden" r:id="rId3"/>
    <sheet name="Sheet3" sheetId="217" state="veryHidden" r:id="rId4"/>
    <sheet name="Sheet4" sheetId="21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8" i="1"/>
  <c r="C779" i="1"/>
  <c r="B14" i="1" l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B210" i="1"/>
  <c r="B212" i="1"/>
  <c r="B214" i="1"/>
  <c r="B216" i="1"/>
  <c r="B218" i="1"/>
  <c r="B220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337" i="1"/>
  <c r="B341" i="1"/>
  <c r="B345" i="1"/>
  <c r="B349" i="1"/>
  <c r="B353" i="1"/>
  <c r="B357" i="1"/>
  <c r="B361" i="1"/>
  <c r="B365" i="1"/>
  <c r="B369" i="1"/>
  <c r="B373" i="1"/>
  <c r="B377" i="1"/>
  <c r="B381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4" i="1"/>
  <c r="B715" i="1"/>
  <c r="B716" i="1"/>
  <c r="B718" i="1"/>
  <c r="B720" i="1"/>
  <c r="B722" i="1"/>
  <c r="B724" i="1"/>
  <c r="B726" i="1"/>
  <c r="B728" i="1"/>
  <c r="B730" i="1"/>
  <c r="B732" i="1"/>
  <c r="B734" i="1"/>
  <c r="B736" i="1"/>
  <c r="B738" i="1"/>
  <c r="B752" i="1"/>
  <c r="B760" i="1"/>
  <c r="B768" i="1"/>
  <c r="B779" i="1"/>
  <c r="H5" i="2"/>
  <c r="I5" i="2"/>
  <c r="J5" i="2"/>
  <c r="L5" i="2"/>
  <c r="L6" i="2"/>
  <c r="B312" i="1" l="1"/>
  <c r="B288" i="1"/>
  <c r="B280" i="1"/>
  <c r="B268" i="1"/>
  <c r="B264" i="1"/>
  <c r="B260" i="1"/>
  <c r="B256" i="1"/>
  <c r="B252" i="1"/>
  <c r="B244" i="1"/>
  <c r="B240" i="1"/>
  <c r="B215" i="1"/>
  <c r="B207" i="1"/>
  <c r="B199" i="1"/>
  <c r="B191" i="1"/>
  <c r="B183" i="1"/>
  <c r="B175" i="1"/>
  <c r="B167" i="1"/>
  <c r="B159" i="1"/>
  <c r="B151" i="1"/>
  <c r="B143" i="1"/>
  <c r="B135" i="1"/>
  <c r="B127" i="1"/>
  <c r="B119" i="1"/>
  <c r="B770" i="1"/>
  <c r="B762" i="1"/>
  <c r="B754" i="1"/>
  <c r="B746" i="1"/>
  <c r="B744" i="1"/>
  <c r="B742" i="1"/>
  <c r="B740" i="1"/>
  <c r="B383" i="1"/>
  <c r="B378" i="1"/>
  <c r="B375" i="1"/>
  <c r="B370" i="1"/>
  <c r="B367" i="1"/>
  <c r="B362" i="1"/>
  <c r="B359" i="1"/>
  <c r="B354" i="1"/>
  <c r="B351" i="1"/>
  <c r="B346" i="1"/>
  <c r="B343" i="1"/>
  <c r="B338" i="1"/>
  <c r="B335" i="1"/>
  <c r="B330" i="1"/>
  <c r="B327" i="1"/>
  <c r="B322" i="1"/>
  <c r="B319" i="1"/>
  <c r="B314" i="1"/>
  <c r="B311" i="1"/>
  <c r="B306" i="1"/>
  <c r="B303" i="1"/>
  <c r="B298" i="1"/>
  <c r="B295" i="1"/>
  <c r="B290" i="1"/>
  <c r="B287" i="1"/>
  <c r="B282" i="1"/>
  <c r="B279" i="1"/>
  <c r="B274" i="1"/>
  <c r="B271" i="1"/>
  <c r="B267" i="1"/>
  <c r="B263" i="1"/>
  <c r="B259" i="1"/>
  <c r="B255" i="1"/>
  <c r="B251" i="1"/>
  <c r="B247" i="1"/>
  <c r="B243" i="1"/>
  <c r="B239" i="1"/>
  <c r="B235" i="1"/>
  <c r="B231" i="1"/>
  <c r="B227" i="1"/>
  <c r="B223" i="1"/>
  <c r="B217" i="1"/>
  <c r="B209" i="1"/>
  <c r="B201" i="1"/>
  <c r="B193" i="1"/>
  <c r="B185" i="1"/>
  <c r="B384" i="1"/>
  <c r="B328" i="1"/>
  <c r="B320" i="1"/>
  <c r="B296" i="1"/>
  <c r="B272" i="1"/>
  <c r="B248" i="1"/>
  <c r="B772" i="1"/>
  <c r="B764" i="1"/>
  <c r="B756" i="1"/>
  <c r="B748" i="1"/>
  <c r="B737" i="1"/>
  <c r="B735" i="1"/>
  <c r="B733" i="1"/>
  <c r="B731" i="1"/>
  <c r="B729" i="1"/>
  <c r="B727" i="1"/>
  <c r="B725" i="1"/>
  <c r="B723" i="1"/>
  <c r="B721" i="1"/>
  <c r="B719" i="1"/>
  <c r="B717" i="1"/>
  <c r="B713" i="1"/>
  <c r="B380" i="1"/>
  <c r="B372" i="1"/>
  <c r="B364" i="1"/>
  <c r="B356" i="1"/>
  <c r="B348" i="1"/>
  <c r="B340" i="1"/>
  <c r="B332" i="1"/>
  <c r="B324" i="1"/>
  <c r="B316" i="1"/>
  <c r="B308" i="1"/>
  <c r="B300" i="1"/>
  <c r="B292" i="1"/>
  <c r="B284" i="1"/>
  <c r="B276" i="1"/>
  <c r="B270" i="1"/>
  <c r="B266" i="1"/>
  <c r="B262" i="1"/>
  <c r="B258" i="1"/>
  <c r="B254" i="1"/>
  <c r="B250" i="1"/>
  <c r="B246" i="1"/>
  <c r="B242" i="1"/>
  <c r="B238" i="1"/>
  <c r="B219" i="1"/>
  <c r="B211" i="1"/>
  <c r="B203" i="1"/>
  <c r="B195" i="1"/>
  <c r="B187" i="1"/>
  <c r="B376" i="1"/>
  <c r="B368" i="1"/>
  <c r="B360" i="1"/>
  <c r="B352" i="1"/>
  <c r="B344" i="1"/>
  <c r="B336" i="1"/>
  <c r="B304" i="1"/>
  <c r="B774" i="1"/>
  <c r="B766" i="1"/>
  <c r="B758" i="1"/>
  <c r="B750" i="1"/>
  <c r="B745" i="1"/>
  <c r="B743" i="1"/>
  <c r="B741" i="1"/>
  <c r="B382" i="1"/>
  <c r="B379" i="1"/>
  <c r="B374" i="1"/>
  <c r="B371" i="1"/>
  <c r="B366" i="1"/>
  <c r="B363" i="1"/>
  <c r="B358" i="1"/>
  <c r="B355" i="1"/>
  <c r="B350" i="1"/>
  <c r="B347" i="1"/>
  <c r="B342" i="1"/>
  <c r="B339" i="1"/>
  <c r="B334" i="1"/>
  <c r="B331" i="1"/>
  <c r="B326" i="1"/>
  <c r="B323" i="1"/>
  <c r="B318" i="1"/>
  <c r="B315" i="1"/>
  <c r="B310" i="1"/>
  <c r="B307" i="1"/>
  <c r="B302" i="1"/>
  <c r="B299" i="1"/>
  <c r="B294" i="1"/>
  <c r="B291" i="1"/>
  <c r="B286" i="1"/>
  <c r="B283" i="1"/>
  <c r="B278" i="1"/>
  <c r="B275" i="1"/>
  <c r="B269" i="1"/>
  <c r="B265" i="1"/>
  <c r="B261" i="1"/>
  <c r="B257" i="1"/>
  <c r="B253" i="1"/>
  <c r="B249" i="1"/>
  <c r="B245" i="1"/>
  <c r="B241" i="1"/>
  <c r="B237" i="1"/>
  <c r="B233" i="1"/>
  <c r="B229" i="1"/>
  <c r="B225" i="1"/>
  <c r="B221" i="1"/>
  <c r="B213" i="1"/>
  <c r="B205" i="1"/>
  <c r="B197" i="1"/>
  <c r="B189" i="1"/>
  <c r="B236" i="1"/>
  <c r="B234" i="1"/>
  <c r="B232" i="1"/>
  <c r="B230" i="1"/>
  <c r="B228" i="1"/>
  <c r="B226" i="1"/>
  <c r="B224" i="1"/>
  <c r="B222" i="1"/>
  <c r="B177" i="1"/>
  <c r="B169" i="1"/>
  <c r="B161" i="1"/>
  <c r="B153" i="1"/>
  <c r="B145" i="1"/>
  <c r="B137" i="1"/>
  <c r="B129" i="1"/>
  <c r="B121" i="1"/>
  <c r="B179" i="1"/>
  <c r="B171" i="1"/>
  <c r="B163" i="1"/>
  <c r="B155" i="1"/>
  <c r="B147" i="1"/>
  <c r="B139" i="1"/>
  <c r="B131" i="1"/>
  <c r="B123" i="1"/>
  <c r="B115" i="1"/>
  <c r="B181" i="1"/>
  <c r="B173" i="1"/>
  <c r="B165" i="1"/>
  <c r="B157" i="1"/>
  <c r="B149" i="1"/>
  <c r="B141" i="1"/>
  <c r="B133" i="1"/>
  <c r="B125" i="1"/>
  <c r="B117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12" i="1"/>
  <c r="B778" i="1"/>
  <c r="B773" i="1"/>
  <c r="B771" i="1"/>
  <c r="B769" i="1"/>
  <c r="B767" i="1"/>
  <c r="B765" i="1"/>
  <c r="B763" i="1"/>
  <c r="B761" i="1"/>
  <c r="B759" i="1"/>
  <c r="B757" i="1"/>
  <c r="B755" i="1"/>
  <c r="B753" i="1"/>
  <c r="B751" i="1"/>
  <c r="B749" i="1"/>
  <c r="B747" i="1"/>
  <c r="B739" i="1"/>
</calcChain>
</file>

<file path=xl/sharedStrings.xml><?xml version="1.0" encoding="utf-8"?>
<sst xmlns="http://schemas.openxmlformats.org/spreadsheetml/2006/main" count="15324" uniqueCount="12282">
  <si>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</si>
  <si>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</si>
  <si>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</si>
  <si>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</si>
  <si>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</si>
  <si>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</si>
  <si>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</si>
  <si>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</si>
  <si>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</si>
  <si>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</si>
  <si>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</si>
  <si>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</si>
  <si>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</si>
  <si>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</si>
  <si>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</si>
  <si>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</si>
  <si>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</si>
  <si>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</si>
  <si>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</si>
  <si>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</si>
  <si>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</si>
  <si>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</si>
  <si>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</si>
  <si>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</si>
  <si>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</si>
  <si>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</si>
  <si>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</si>
  <si>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</si>
  <si>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</si>
  <si>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</si>
  <si>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</si>
  <si>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</si>
  <si>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</si>
  <si>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</si>
  <si>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</si>
  <si>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</si>
  <si>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</si>
  <si>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</si>
  <si>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</si>
  <si>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</si>
  <si>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</si>
  <si>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</si>
  <si>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</si>
  <si>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</si>
  <si>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</si>
  <si>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</si>
  <si>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</si>
  <si>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</si>
  <si>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</si>
  <si>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</si>
  <si>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</si>
  <si>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</si>
  <si>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</si>
  <si>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</si>
  <si>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</si>
  <si>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</si>
  <si>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</si>
  <si>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</si>
  <si>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</si>
  <si>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</si>
  <si>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</si>
  <si>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</si>
  <si>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</si>
  <si>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</si>
  <si>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</si>
  <si>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</si>
  <si>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</si>
  <si>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</si>
  <si>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</si>
  <si>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</si>
  <si>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</si>
  <si>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</si>
  <si>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</si>
  <si>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</si>
  <si>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</si>
  <si>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</si>
  <si>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</si>
  <si>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</si>
  <si>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</si>
  <si>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</si>
  <si>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</si>
  <si>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</si>
  <si>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</si>
  <si>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</si>
  <si>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</si>
  <si>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</si>
  <si>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</si>
  <si>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</si>
  <si>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</si>
  <si>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</si>
  <si>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</si>
  <si>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</si>
  <si>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</si>
  <si>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</si>
  <si>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</si>
  <si>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</si>
  <si>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</si>
  <si>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</si>
  <si>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</si>
  <si>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</si>
  <si>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</si>
  <si>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</si>
  <si>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</si>
  <si>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</si>
  <si>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</si>
  <si>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</si>
  <si>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</si>
  <si>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</si>
  <si>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</si>
  <si>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</si>
  <si>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</si>
  <si>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</si>
  <si>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</si>
  <si>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</si>
  <si>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</si>
  <si>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</si>
  <si>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</si>
  <si>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</si>
  <si>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</si>
  <si>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</si>
  <si>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</si>
  <si>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</si>
  <si>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</si>
  <si>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</si>
  <si>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</si>
  <si>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</si>
  <si>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</si>
  <si>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</si>
  <si>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</si>
  <si>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</si>
  <si>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</si>
  <si>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</si>
  <si>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</si>
  <si>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</si>
  <si>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</si>
  <si>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</si>
  <si>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</si>
  <si>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</si>
  <si>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</si>
  <si>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</si>
  <si>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</si>
  <si>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</si>
  <si>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</si>
  <si>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</si>
  <si>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</si>
  <si>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</si>
  <si>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</si>
  <si>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</si>
  <si>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</si>
  <si>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</si>
  <si>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</si>
  <si>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</si>
  <si>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</si>
  <si>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</si>
  <si>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</si>
  <si>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</si>
  <si>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</si>
  <si>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</si>
  <si>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</si>
  <si>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</si>
  <si>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</si>
  <si>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</si>
  <si>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</si>
  <si>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</si>
  <si>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</si>
  <si>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</si>
  <si>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</si>
  <si>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</si>
  <si>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</si>
  <si>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</si>
  <si>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</si>
  <si>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</si>
  <si>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</si>
  <si>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</si>
  <si>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</si>
  <si>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</si>
  <si>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</si>
  <si>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</si>
  <si>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</si>
  <si>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</si>
  <si>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</si>
  <si>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</si>
  <si>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</si>
  <si>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</si>
  <si>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</si>
  <si>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</si>
  <si>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</si>
  <si>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</si>
  <si>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</si>
  <si>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</si>
  <si>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</si>
  <si>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</si>
  <si>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</si>
  <si>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</si>
  <si>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</si>
  <si>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</si>
  <si>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</si>
  <si>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</si>
  <si>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</si>
  <si>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</si>
  <si>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</si>
  <si>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</si>
  <si>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</si>
  <si>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</si>
  <si>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</si>
  <si>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</si>
  <si>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</si>
  <si>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</si>
  <si>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</si>
  <si>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</si>
  <si>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</si>
  <si>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</si>
  <si>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</si>
  <si>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</si>
  <si>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</si>
  <si>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</si>
  <si>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</si>
  <si>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</si>
  <si>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</si>
  <si>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</si>
  <si>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</si>
  <si>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</si>
  <si>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</si>
  <si>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</si>
  <si>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</si>
  <si>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</si>
  <si>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</si>
  <si>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</si>
  <si>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</si>
  <si>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</si>
  <si>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</si>
  <si>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</si>
  <si>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</si>
  <si>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</si>
  <si>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</si>
  <si>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</si>
  <si>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</si>
  <si>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</si>
  <si>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</si>
  <si>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</si>
  <si>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</si>
  <si>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</si>
  <si>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</si>
  <si>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</si>
  <si>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</si>
  <si>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</si>
  <si>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</si>
  <si>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</si>
  <si>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</si>
  <si>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</si>
  <si>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</si>
  <si>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</si>
  <si>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</si>
  <si>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</si>
  <si>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</si>
  <si>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</si>
  <si>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</si>
  <si>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</si>
  <si>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</si>
  <si>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</si>
  <si>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</si>
  <si>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</si>
  <si>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</si>
  <si>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</si>
  <si>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</si>
  <si>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</si>
  <si>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</si>
  <si>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</si>
  <si>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</si>
  <si>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</si>
  <si>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</si>
  <si>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</si>
  <si>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</si>
  <si>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</si>
  <si>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</si>
  <si>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</si>
  <si>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</si>
  <si>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</si>
  <si>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</si>
  <si>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</si>
  <si>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</si>
  <si>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</si>
  <si>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</si>
  <si>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</si>
  <si>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</si>
  <si>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</si>
  <si>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</si>
  <si>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</si>
  <si>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</si>
  <si>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</si>
  <si>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</si>
  <si>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</si>
  <si>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</si>
  <si>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</si>
  <si>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</si>
  <si>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</si>
  <si>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</si>
  <si>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</si>
  <si>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</si>
  <si>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</si>
  <si>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</si>
  <si>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</si>
  <si>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</si>
  <si>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</si>
  <si>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</si>
  <si>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</si>
  <si>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</si>
  <si>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</si>
  <si>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</si>
  <si>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</si>
  <si>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</si>
  <si>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</si>
  <si>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</si>
  <si>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</si>
  <si>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</si>
  <si>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</si>
  <si>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</si>
  <si>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</si>
  <si>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</si>
  <si>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</si>
  <si>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</si>
  <si>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</si>
  <si>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</si>
  <si>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</si>
  <si>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</si>
  <si>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</si>
  <si>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</si>
  <si>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</si>
  <si>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</si>
  <si>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</si>
  <si>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</si>
  <si>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</si>
  <si>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</si>
  <si>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</si>
  <si>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</si>
  <si>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</si>
  <si>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</si>
  <si>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</si>
  <si>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</si>
  <si>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</si>
  <si>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</si>
  <si>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</si>
  <si>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</si>
  <si>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</si>
  <si>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</si>
  <si>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</si>
  <si>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</si>
  <si>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</si>
  <si>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</si>
  <si>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</si>
  <si>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</si>
  <si>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</si>
  <si>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</si>
  <si>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</si>
  <si>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</si>
  <si>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</si>
  <si>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</si>
  <si>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</si>
  <si>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</si>
  <si>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</si>
  <si>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</si>
  <si>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</si>
  <si>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</si>
  <si>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</si>
  <si>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</si>
  <si>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</si>
  <si>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</si>
  <si>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</si>
  <si>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</si>
  <si>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</si>
  <si>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</si>
  <si>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</si>
  <si>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</si>
  <si>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</si>
  <si>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</si>
  <si>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</si>
  <si>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</si>
  <si>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</si>
  <si>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</si>
  <si>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</si>
  <si>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</si>
  <si>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</si>
  <si>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</si>
  <si>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</si>
  <si>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</si>
  <si>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</si>
  <si>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</si>
  <si>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</si>
  <si>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</si>
  <si>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</si>
  <si>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</si>
  <si>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</si>
  <si>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</si>
  <si>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</si>
  <si>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</si>
  <si>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</si>
  <si>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</si>
  <si>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</si>
  <si>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</si>
  <si>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</si>
  <si>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</si>
  <si>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</si>
  <si>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</si>
  <si>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</si>
  <si>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</si>
  <si>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</si>
  <si>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</si>
  <si>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</si>
  <si>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</si>
  <si>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</si>
  <si>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</si>
  <si>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</si>
  <si>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</si>
  <si>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</si>
  <si>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</si>
  <si>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</si>
  <si>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</si>
  <si>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</si>
  <si>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</si>
  <si>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</si>
  <si>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</si>
  <si>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</si>
  <si>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</si>
  <si>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</si>
  <si>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</si>
  <si>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</si>
  <si>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</si>
  <si>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</si>
  <si>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</si>
  <si>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</si>
  <si>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</si>
  <si>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</si>
  <si>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</si>
  <si>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</si>
  <si>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</si>
  <si>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</si>
  <si>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</si>
  <si>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</si>
  <si>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</si>
  <si>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</si>
  <si>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</si>
  <si>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</si>
  <si>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</si>
  <si>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</si>
  <si>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</si>
  <si>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</si>
  <si>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</si>
  <si>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</si>
  <si>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</si>
  <si>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</si>
  <si>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</si>
  <si>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</si>
  <si>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</si>
  <si>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</si>
  <si>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</si>
  <si>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</si>
  <si>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</si>
  <si>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</si>
  <si>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</si>
  <si>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</si>
  <si>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</si>
  <si>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</si>
  <si>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</si>
  <si>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</si>
  <si>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</si>
  <si>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</si>
  <si>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</si>
  <si>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</si>
  <si>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</si>
  <si>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</si>
  <si>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</si>
  <si>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</si>
  <si>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</si>
  <si>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</si>
  <si>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</si>
  <si>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</si>
  <si>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</si>
  <si>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</si>
  <si>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</si>
  <si>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</si>
  <si>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</si>
  <si>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</si>
  <si>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</si>
  <si>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</si>
  <si>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</si>
  <si>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</si>
  <si>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</si>
  <si>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</si>
  <si>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</si>
  <si>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</si>
  <si>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</si>
  <si>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</si>
  <si>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</si>
  <si>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</si>
  <si>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</si>
  <si>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</si>
  <si>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</si>
  <si>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</si>
  <si>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</si>
  <si>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</si>
  <si>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</si>
  <si>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</si>
  <si>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</si>
  <si>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</si>
  <si>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</si>
  <si>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</si>
  <si>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</si>
  <si>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</si>
  <si>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</si>
  <si>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</si>
  <si>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</si>
  <si>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</si>
  <si>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</si>
  <si>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</si>
  <si>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</si>
  <si>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</si>
  <si>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</si>
  <si>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</si>
  <si>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</si>
  <si>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</si>
  <si>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</si>
  <si>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</si>
  <si>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</si>
  <si>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</si>
  <si>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</si>
  <si>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</si>
  <si>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</si>
  <si>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</si>
  <si>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</si>
  <si>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</si>
  <si>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</si>
  <si>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</si>
  <si>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</si>
  <si>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</si>
  <si>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</si>
  <si>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</si>
  <si>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</si>
  <si>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</si>
  <si>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</si>
  <si>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</si>
  <si>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</si>
  <si>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</si>
  <si>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</si>
  <si>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</si>
  <si>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</si>
  <si>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</si>
  <si>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</si>
  <si>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</si>
  <si>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</si>
  <si>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</si>
  <si>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</si>
  <si>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</si>
  <si>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</si>
  <si>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</si>
  <si>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</si>
  <si>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</si>
  <si>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</si>
  <si>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</si>
  <si>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</si>
  <si>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</si>
  <si>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</si>
  <si>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</si>
  <si>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</si>
  <si>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</si>
  <si>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</si>
  <si>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</si>
  <si>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</si>
  <si>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</si>
  <si>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</si>
  <si>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</si>
  <si>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</si>
  <si>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</si>
  <si>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</si>
  <si>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</si>
  <si>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</si>
  <si>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</si>
  <si>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</si>
  <si>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</si>
  <si>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</si>
  <si>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</si>
  <si>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</si>
  <si>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</si>
  <si>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</si>
  <si>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</si>
  <si>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</si>
  <si>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</si>
  <si>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</si>
  <si>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</si>
  <si>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</si>
  <si>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</si>
  <si>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</si>
  <si>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</si>
  <si>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</si>
  <si>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</si>
  <si>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</si>
  <si>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</si>
  <si>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</si>
  <si>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</si>
  <si>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</si>
  <si>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</si>
  <si>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</si>
  <si>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</si>
  <si>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</si>
  <si>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</si>
  <si>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</si>
  <si>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</si>
  <si>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</si>
  <si>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</si>
  <si>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</si>
  <si>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</si>
  <si>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</si>
  <si>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</si>
  <si>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</si>
  <si>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</si>
  <si>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</si>
  <si>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</si>
  <si>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</si>
  <si>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</si>
  <si>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</si>
  <si>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</si>
  <si>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</si>
  <si>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</si>
  <si>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</si>
  <si>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</si>
  <si>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</si>
  <si>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</si>
  <si>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</si>
  <si>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</si>
  <si>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</si>
  <si>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</si>
  <si>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</si>
  <si>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</si>
  <si>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</si>
  <si>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</si>
  <si>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</si>
  <si>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</si>
  <si>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</si>
  <si>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</si>
  <si>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</si>
  <si>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</si>
  <si>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</si>
  <si>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</si>
  <si>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</si>
  <si>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</si>
  <si>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</si>
  <si>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</si>
  <si>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</si>
  <si>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</si>
  <si>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</si>
  <si>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</si>
  <si>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</si>
  <si>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</si>
  <si>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</si>
  <si>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</si>
  <si>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</si>
  <si>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</si>
  <si>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</si>
  <si>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</si>
  <si>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</si>
  <si>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</si>
  <si>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</si>
  <si>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</si>
  <si>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</si>
  <si>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</si>
  <si>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</si>
  <si>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</si>
  <si>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</si>
  <si>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</si>
  <si>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</si>
  <si>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</si>
  <si>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</si>
  <si>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</si>
  <si>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</si>
  <si>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</si>
  <si>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</si>
  <si>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</si>
  <si>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</si>
  <si>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</si>
  <si>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</si>
  <si>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</si>
  <si>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</si>
  <si>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</si>
  <si>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</si>
  <si>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</si>
  <si>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</si>
  <si>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</si>
  <si>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</si>
  <si>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</si>
  <si>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</si>
  <si>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</si>
  <si>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</si>
  <si>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</si>
  <si>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</si>
  <si>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</si>
  <si>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</si>
  <si>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</si>
  <si>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</si>
  <si>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</si>
  <si>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</si>
  <si>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</si>
  <si>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</si>
  <si>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</si>
  <si>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</si>
  <si>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</si>
  <si>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</si>
  <si>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</si>
  <si>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</si>
  <si>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</si>
  <si>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</si>
  <si>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</si>
  <si>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</si>
  <si>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</si>
  <si>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</si>
  <si>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</si>
  <si>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</si>
  <si>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</si>
  <si>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</si>
  <si>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</si>
  <si>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</si>
  <si>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</si>
  <si>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</si>
  <si>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</si>
  <si>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</si>
  <si>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</si>
  <si>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</si>
  <si>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</si>
  <si>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</si>
  <si>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</si>
  <si>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</si>
  <si>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</si>
  <si>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</si>
  <si>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</si>
  <si>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</si>
  <si>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</si>
  <si>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</si>
  <si>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</si>
  <si>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</si>
  <si>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</si>
  <si>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</si>
  <si>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</si>
  <si>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</si>
  <si>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</si>
  <si>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</si>
  <si>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</si>
  <si>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</si>
  <si>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</si>
  <si>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</si>
  <si>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</si>
  <si>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</si>
  <si>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</si>
  <si>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</si>
  <si>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</si>
  <si>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</si>
  <si>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</si>
  <si>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</si>
  <si>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</si>
  <si>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</si>
  <si>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</si>
  <si>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</si>
  <si>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</si>
  <si>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</si>
  <si>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</si>
  <si>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</si>
  <si>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</si>
  <si>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</si>
  <si>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</si>
  <si>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</si>
  <si>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</si>
  <si>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</si>
  <si>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</si>
  <si>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</si>
  <si>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</si>
  <si>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</si>
  <si>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</si>
  <si>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</si>
  <si>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</si>
  <si>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</si>
  <si>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</si>
  <si>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</si>
  <si>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</si>
  <si>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</si>
  <si>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</si>
  <si>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</si>
  <si>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</si>
  <si>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</si>
  <si>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</si>
  <si>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</si>
  <si>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</si>
  <si>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</si>
  <si>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</si>
  <si>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</si>
  <si>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</si>
  <si>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</si>
  <si>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</si>
  <si>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</si>
  <si>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</si>
  <si>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</si>
  <si>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</si>
  <si>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</si>
  <si>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</si>
  <si>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</si>
  <si>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</si>
  <si>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</si>
  <si>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</si>
  <si>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</si>
  <si>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</si>
  <si>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</si>
  <si>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</si>
  <si>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</si>
  <si>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</si>
  <si>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</si>
  <si>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</si>
  <si>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</si>
  <si>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</si>
  <si>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</si>
  <si>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</si>
  <si>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</si>
  <si>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</si>
  <si>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</si>
  <si>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</si>
  <si>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</si>
  <si>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</si>
  <si>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</si>
  <si>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</si>
  <si>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</si>
  <si>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</si>
  <si>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</si>
  <si>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</si>
  <si>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</si>
  <si>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</si>
  <si>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</si>
  <si>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</si>
  <si>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</si>
  <si>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</si>
  <si>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</si>
  <si>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</si>
  <si>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</si>
  <si>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</si>
  <si>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</si>
  <si>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</si>
  <si>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</si>
  <si>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</si>
  <si>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</si>
  <si>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</si>
  <si>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</si>
  <si>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</si>
  <si>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</si>
  <si>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</si>
  <si>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</si>
  <si>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</si>
  <si>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</si>
  <si>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</si>
  <si>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</si>
  <si>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</si>
  <si>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</si>
  <si>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</si>
  <si>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</si>
  <si>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</si>
  <si>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</si>
  <si>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</si>
  <si>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</si>
  <si>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</si>
  <si>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</si>
  <si>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</si>
  <si>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</si>
  <si>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</si>
  <si>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</si>
  <si>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</si>
  <si>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</si>
  <si>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</si>
  <si>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</si>
  <si>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</si>
  <si>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</si>
  <si>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</si>
  <si>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</si>
  <si>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</si>
  <si>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</si>
  <si>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</si>
  <si>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</si>
  <si>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</si>
  <si>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</si>
  <si>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</si>
  <si>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</si>
  <si>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</si>
  <si>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</si>
  <si>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</si>
  <si>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</si>
  <si>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</si>
  <si>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</si>
  <si>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</si>
  <si>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</si>
  <si>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</si>
  <si>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</si>
  <si>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</si>
  <si>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</si>
  <si>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</si>
  <si>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</si>
  <si>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</si>
  <si>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</si>
  <si>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</si>
  <si>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</si>
  <si>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</si>
  <si>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</si>
  <si>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</si>
  <si>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</si>
  <si>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</si>
  <si>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</si>
  <si>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</si>
  <si>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</si>
  <si>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</si>
  <si>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</si>
  <si>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</si>
  <si>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</si>
  <si>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</si>
  <si>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</si>
  <si>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</si>
  <si>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</si>
  <si>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</si>
  <si>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</si>
  <si>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</si>
  <si>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</si>
  <si>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</si>
  <si>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</si>
  <si>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</si>
  <si>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</si>
  <si>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</si>
  <si>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</si>
  <si>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</si>
  <si>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</si>
  <si>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</si>
  <si>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</si>
  <si>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</si>
  <si>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</si>
  <si>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</si>
  <si>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</si>
  <si>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</si>
  <si>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</si>
  <si>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</si>
  <si>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</si>
  <si>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</si>
  <si>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</si>
  <si>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</si>
  <si>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</si>
  <si>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</si>
  <si>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</si>
  <si>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</si>
  <si>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</si>
  <si>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</si>
  <si>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</si>
  <si>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</si>
  <si>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</si>
  <si>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</si>
  <si>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</si>
  <si>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</si>
  <si>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</si>
  <si>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</si>
  <si>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</si>
  <si>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</si>
  <si>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</si>
  <si>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</si>
  <si>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</si>
  <si>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</si>
  <si>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</si>
  <si>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</si>
  <si>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</si>
  <si>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</si>
  <si>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</si>
  <si>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</si>
  <si>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</si>
  <si>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</si>
  <si>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</si>
  <si>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</si>
  <si>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</si>
  <si>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</si>
  <si>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</si>
  <si>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</si>
  <si>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</si>
  <si>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</si>
  <si>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</si>
  <si>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</si>
  <si>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</si>
  <si>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</si>
  <si>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</si>
  <si>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</si>
  <si>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</si>
  <si>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</si>
  <si>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</si>
  <si>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</si>
  <si>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</si>
  <si>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</si>
  <si>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</si>
  <si>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</si>
  <si>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</si>
  <si>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</si>
  <si>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</si>
  <si>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</si>
  <si>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</si>
  <si>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</si>
  <si>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</si>
  <si>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</si>
  <si>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</si>
  <si>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</si>
  <si>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</si>
  <si>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</si>
  <si>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</si>
  <si>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</si>
  <si>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</si>
  <si>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</si>
  <si>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</si>
  <si>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</si>
  <si>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</si>
  <si>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</si>
  <si>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</si>
  <si>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</si>
  <si>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</si>
  <si>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</si>
  <si>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</si>
  <si>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</si>
  <si>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</si>
  <si>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</si>
  <si>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</si>
  <si>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</si>
  <si>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</si>
  <si>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</si>
  <si>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</si>
  <si>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</si>
  <si>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</si>
  <si>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</si>
  <si>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</si>
  <si>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</si>
  <si>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</si>
  <si>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</si>
  <si>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</si>
  <si>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</si>
  <si>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</si>
  <si>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</si>
  <si>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</si>
  <si>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</si>
  <si>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</si>
  <si>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</si>
  <si>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</si>
  <si>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</si>
  <si>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</si>
  <si>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</si>
  <si>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</si>
  <si>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</si>
  <si>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</si>
  <si>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</si>
  <si>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</si>
  <si>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</si>
  <si>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</si>
  <si>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</si>
  <si>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</si>
  <si>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</si>
  <si>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</si>
  <si>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</si>
  <si>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</si>
  <si>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</si>
  <si>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</si>
  <si>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</si>
  <si>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</si>
  <si>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</si>
  <si>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</si>
  <si>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</si>
  <si>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</si>
  <si>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</si>
  <si>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</si>
  <si>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</si>
  <si>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</si>
  <si>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</si>
  <si>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</si>
  <si>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</si>
  <si>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</si>
  <si>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</si>
  <si>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</si>
  <si>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</si>
  <si>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</si>
  <si>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</si>
  <si>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</si>
  <si>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</si>
  <si>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</si>
  <si>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</si>
  <si>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</si>
  <si>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</si>
  <si>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</si>
  <si>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</si>
  <si>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</si>
  <si>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</si>
  <si>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</si>
  <si>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</si>
  <si>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</si>
  <si>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</si>
  <si>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</si>
  <si>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</si>
  <si>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</si>
  <si>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</si>
  <si>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</si>
  <si>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</si>
  <si>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</si>
  <si>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</si>
  <si>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</si>
  <si>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</si>
  <si>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</si>
  <si>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</si>
  <si>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</si>
  <si>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</si>
  <si>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</si>
  <si>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</si>
  <si>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</si>
  <si>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</si>
  <si>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</si>
  <si>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</si>
  <si>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</si>
  <si>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</si>
  <si>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</si>
  <si>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</si>
  <si>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</si>
  <si>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</si>
  <si>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</si>
  <si>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</si>
  <si>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</si>
  <si>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</si>
  <si>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</si>
  <si>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</si>
  <si>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</si>
  <si>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</si>
  <si>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</si>
  <si>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</si>
  <si>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</si>
  <si>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</si>
  <si>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</si>
  <si>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</si>
  <si>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</si>
  <si>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</si>
  <si>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</si>
  <si>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</si>
  <si>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</si>
  <si>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</si>
  <si>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</si>
  <si>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</si>
  <si>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</si>
  <si>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</si>
  <si>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</si>
  <si>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</si>
  <si>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</si>
  <si>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</si>
  <si>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</si>
  <si>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</si>
  <si>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</si>
  <si>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</si>
  <si>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</si>
  <si>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</si>
  <si>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</si>
  <si>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</si>
  <si>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</si>
  <si>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</si>
  <si>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</si>
  <si>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</si>
  <si>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</si>
  <si>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</si>
  <si>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</si>
  <si>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</si>
  <si>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</si>
  <si>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</si>
  <si>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</si>
  <si>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</si>
  <si>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</si>
  <si>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</si>
  <si>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</si>
  <si>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</si>
  <si>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</si>
  <si>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</si>
  <si>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</si>
  <si>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</si>
  <si>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</si>
  <si>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</si>
  <si>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</si>
  <si>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</si>
  <si>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</si>
  <si>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</si>
  <si>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</si>
  <si>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</si>
  <si>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</si>
  <si>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</si>
  <si>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</si>
  <si>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</si>
  <si>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</si>
  <si>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</si>
  <si>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</si>
  <si>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</si>
  <si>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</si>
  <si>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</si>
  <si>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</si>
  <si>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</si>
  <si>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</si>
  <si>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</si>
  <si>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</si>
  <si>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</si>
  <si>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</si>
  <si>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</si>
  <si>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</si>
  <si>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</si>
  <si>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</si>
  <si>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</si>
  <si>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</si>
  <si>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</si>
  <si>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</si>
  <si>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</si>
  <si>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</si>
  <si>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</si>
  <si>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</si>
  <si>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</si>
  <si>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</si>
  <si>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</si>
  <si>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</si>
  <si>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</si>
  <si>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</si>
  <si>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</si>
  <si>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</si>
  <si>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</si>
  <si>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</si>
  <si>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</si>
  <si>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</si>
  <si>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</si>
  <si>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</si>
  <si>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</si>
  <si>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</si>
  <si>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</si>
  <si>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</si>
  <si>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</si>
  <si>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</si>
  <si>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</si>
  <si>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</si>
  <si>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</si>
  <si>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</si>
  <si>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</si>
  <si>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</si>
  <si>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</si>
  <si>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</si>
  <si>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</si>
  <si>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</si>
  <si>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</si>
  <si>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</si>
  <si>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</si>
  <si>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</si>
  <si>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</si>
  <si>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</si>
  <si>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</si>
  <si>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</si>
  <si>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</si>
  <si>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</si>
  <si>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</si>
  <si>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</si>
  <si>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</si>
  <si>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</si>
  <si>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</si>
  <si>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</si>
  <si>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</si>
  <si>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</si>
  <si>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</si>
  <si>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</si>
  <si>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</si>
  <si>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</si>
  <si>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</si>
  <si>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</si>
  <si>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</si>
  <si>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</si>
  <si>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</si>
  <si>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</si>
  <si>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</si>
  <si>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</si>
  <si>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</si>
  <si>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</si>
  <si>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</si>
  <si>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</si>
  <si>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</si>
  <si>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</si>
  <si>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</si>
  <si>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</si>
  <si>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</si>
  <si>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</si>
  <si>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</si>
  <si>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</si>
  <si>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</si>
  <si>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</si>
  <si>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</si>
  <si>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</si>
  <si>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</si>
  <si>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</si>
  <si>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</si>
  <si>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</si>
  <si>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</si>
  <si>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</si>
  <si>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</si>
  <si>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</si>
  <si>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</si>
  <si>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</si>
  <si>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</si>
  <si>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</si>
  <si>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</si>
  <si>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</si>
  <si>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</si>
  <si>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</si>
  <si>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</si>
  <si>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</si>
  <si>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</si>
  <si>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</si>
  <si>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</si>
  <si>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</si>
  <si>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</si>
  <si>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</si>
  <si>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</si>
  <si>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</si>
  <si>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</si>
  <si>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</si>
  <si>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</si>
  <si>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</si>
  <si>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</si>
  <si>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</si>
  <si>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</si>
  <si>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</si>
  <si>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</si>
  <si>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</si>
  <si>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</si>
  <si>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</si>
  <si>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</si>
  <si>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</si>
  <si>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</si>
  <si>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</si>
  <si>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</si>
  <si>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</si>
  <si>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</si>
  <si>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</si>
  <si>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</si>
  <si>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</si>
  <si>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</si>
  <si>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</si>
  <si>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</si>
  <si>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</si>
  <si>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</si>
  <si>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</si>
  <si>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</si>
  <si>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</si>
  <si>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</si>
  <si>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</si>
  <si>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</si>
  <si>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</si>
  <si>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</si>
  <si>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</si>
  <si>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</si>
  <si>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</si>
  <si>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</si>
  <si>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</si>
  <si>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</si>
  <si>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</si>
  <si>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</si>
  <si>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</si>
  <si>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</si>
  <si>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</si>
  <si>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</si>
  <si>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</si>
  <si>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</si>
  <si>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</si>
  <si>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</si>
  <si>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</si>
  <si>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</si>
  <si>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</si>
  <si>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</si>
  <si>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</si>
  <si>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</si>
  <si>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</si>
  <si>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</si>
  <si>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</si>
  <si>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</si>
  <si>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</si>
  <si>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</si>
  <si>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</si>
  <si>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</si>
  <si>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</si>
  <si>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</si>
  <si>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</si>
  <si>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</si>
  <si>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</si>
  <si>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</si>
  <si>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</si>
  <si>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</si>
  <si>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</si>
  <si>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</si>
  <si>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</si>
  <si>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</si>
  <si>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</si>
  <si>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</si>
  <si>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</si>
  <si>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</si>
  <si>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</si>
  <si>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</si>
  <si>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</si>
  <si>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</si>
  <si>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</si>
  <si>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</si>
  <si>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</si>
  <si>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</si>
  <si>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</si>
  <si>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</si>
  <si>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</si>
  <si>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</si>
  <si>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</si>
  <si>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</si>
  <si>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</si>
  <si>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</si>
  <si>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</si>
  <si>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</si>
  <si>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</si>
  <si>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</si>
  <si>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</si>
  <si>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</si>
  <si>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</si>
  <si>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</si>
  <si>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</si>
  <si>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</si>
  <si>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</si>
  <si>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</si>
  <si>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</si>
  <si>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</si>
  <si>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</si>
  <si>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</si>
  <si>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</si>
  <si>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</si>
  <si>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</si>
  <si>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</si>
  <si>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</si>
  <si>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</si>
  <si>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</si>
  <si>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</si>
  <si>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</si>
  <si>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</si>
  <si>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</si>
  <si>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</si>
  <si>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</si>
  <si>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</si>
  <si>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</si>
  <si>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</si>
  <si>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</si>
  <si>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</si>
  <si>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</si>
  <si>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</si>
  <si>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</si>
  <si>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</si>
  <si>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</si>
  <si>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</si>
  <si>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</si>
  <si>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</si>
  <si>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</si>
  <si>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</si>
  <si>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</si>
  <si>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</si>
  <si>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</si>
  <si>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</si>
  <si>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</si>
  <si>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</si>
  <si>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</si>
  <si>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</si>
  <si>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</si>
  <si>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</si>
  <si>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</si>
  <si>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</si>
  <si>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</si>
  <si>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</si>
  <si>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</si>
  <si>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</si>
  <si>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</si>
  <si>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</si>
  <si>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</si>
  <si>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</si>
  <si>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</si>
  <si>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</si>
  <si>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</si>
  <si>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</si>
  <si>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</si>
  <si>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</si>
  <si>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</si>
  <si>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</si>
  <si>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</si>
  <si>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</si>
  <si>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</si>
  <si>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</si>
  <si>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</si>
  <si>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</si>
  <si>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</si>
  <si>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</si>
  <si>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</si>
  <si>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</si>
  <si>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</si>
  <si>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</si>
  <si>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</si>
  <si>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</si>
  <si>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</si>
  <si>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</si>
  <si>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</si>
  <si>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</si>
  <si>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</si>
  <si>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</si>
  <si>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</si>
  <si>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</si>
  <si>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</si>
  <si>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</si>
  <si>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</si>
  <si>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</si>
  <si>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</si>
  <si>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</si>
  <si>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</si>
  <si>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</si>
  <si>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</si>
  <si>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</si>
  <si>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</si>
  <si>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</si>
  <si>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</si>
  <si>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</si>
  <si>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</si>
  <si>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</si>
  <si>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</si>
  <si>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</si>
  <si>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</si>
  <si>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</si>
  <si>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</si>
  <si>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</si>
  <si>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</si>
  <si>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</si>
  <si>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</si>
  <si>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</si>
  <si>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</si>
  <si>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</si>
  <si>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</si>
  <si>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</si>
  <si>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</si>
  <si>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</si>
  <si>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</si>
  <si>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</si>
  <si>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</si>
  <si>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</si>
  <si>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</si>
  <si>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</si>
  <si>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</si>
  <si>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</si>
  <si>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</si>
  <si>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</si>
  <si>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</si>
  <si>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</si>
  <si>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</si>
  <si>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</si>
  <si>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</si>
  <si>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</si>
  <si>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</si>
  <si>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</si>
  <si>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</si>
  <si>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</si>
  <si>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</si>
  <si>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</si>
  <si>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</si>
  <si>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</si>
  <si>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</si>
  <si>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</si>
  <si>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</si>
  <si>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</si>
  <si>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</si>
  <si>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</si>
  <si>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</si>
  <si>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</si>
  <si>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</si>
  <si>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</si>
  <si>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</si>
  <si>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</si>
  <si>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</si>
  <si>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</si>
  <si>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</si>
  <si>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</si>
  <si>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</si>
  <si>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</si>
  <si>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</si>
  <si>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</si>
  <si>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</si>
  <si>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</si>
  <si>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</si>
  <si>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</si>
  <si>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</si>
  <si>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</si>
  <si>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</si>
  <si>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</si>
  <si>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</si>
  <si>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</si>
  <si>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</si>
  <si>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</si>
  <si>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</si>
  <si>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</si>
  <si>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</si>
  <si>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</si>
  <si>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</si>
  <si>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</si>
  <si>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</si>
  <si>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</si>
  <si>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</si>
  <si>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</si>
  <si>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</si>
  <si>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</si>
  <si>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</si>
  <si>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</si>
  <si>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</si>
  <si>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</si>
  <si>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</si>
  <si>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</si>
  <si>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</si>
  <si>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</si>
  <si>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</si>
  <si>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</si>
  <si>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</si>
  <si>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</si>
  <si>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</si>
  <si>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</si>
  <si>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</si>
  <si>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</si>
  <si>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</si>
  <si>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</si>
  <si>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</si>
  <si>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</si>
  <si>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</si>
  <si>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</si>
  <si>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</si>
  <si>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</si>
  <si>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</si>
  <si>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</si>
  <si>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</si>
  <si>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</si>
  <si>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</si>
  <si>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</si>
  <si>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</si>
  <si>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</si>
  <si>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</si>
  <si>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</si>
  <si>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</si>
  <si>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</si>
  <si>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</si>
  <si>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</si>
  <si>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</si>
  <si>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</si>
  <si>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</si>
  <si>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</si>
  <si>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</si>
  <si>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</si>
  <si>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</si>
  <si>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</si>
  <si>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</si>
  <si>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</si>
  <si>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</si>
  <si>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</si>
  <si>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</si>
  <si>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</si>
  <si>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</si>
  <si>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</si>
  <si>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</si>
  <si>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</si>
  <si>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</si>
  <si>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</si>
  <si>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</si>
  <si>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</si>
  <si>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</si>
  <si>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</si>
  <si>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</si>
  <si>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</si>
  <si>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</si>
  <si>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</si>
  <si>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</si>
  <si>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</si>
  <si>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</si>
  <si>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</si>
  <si>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</si>
  <si>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</si>
  <si>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</si>
  <si>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</si>
  <si>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</si>
  <si>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</si>
  <si>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</si>
  <si>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</si>
  <si>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</si>
  <si>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</si>
  <si>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</si>
  <si>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</si>
  <si>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</si>
  <si>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</si>
  <si>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</si>
  <si>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</si>
  <si>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</si>
  <si>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</si>
  <si>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</si>
  <si>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</si>
  <si>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</si>
  <si>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</si>
  <si>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</si>
  <si>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</si>
  <si>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</si>
  <si>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</si>
  <si>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</si>
  <si>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</si>
  <si>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</si>
  <si>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</si>
  <si>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</si>
  <si>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</si>
  <si>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</si>
  <si>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</si>
  <si>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</si>
  <si>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</si>
  <si>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</si>
  <si>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</si>
  <si>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</si>
  <si>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</si>
  <si>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</si>
  <si>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</si>
  <si>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</si>
  <si>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</si>
  <si>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</si>
  <si>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</si>
  <si>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</si>
  <si>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</si>
  <si>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</si>
  <si>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</si>
  <si>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</si>
  <si>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</si>
  <si>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</si>
  <si>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</si>
  <si>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</si>
  <si>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</si>
  <si>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</si>
  <si>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</si>
  <si>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</si>
  <si>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</si>
  <si>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</si>
  <si>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</si>
  <si>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</si>
  <si>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</si>
  <si>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</si>
  <si>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</si>
  <si>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</si>
  <si>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</si>
  <si>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</si>
  <si>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</si>
  <si>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</si>
  <si>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</si>
  <si>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</si>
  <si>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</si>
  <si>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</si>
  <si>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</si>
  <si>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</si>
  <si>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</si>
  <si>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</si>
  <si>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</si>
  <si>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</si>
  <si>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</si>
  <si>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</si>
  <si>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</si>
  <si>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</si>
  <si>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</si>
  <si>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</si>
  <si>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</si>
  <si>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</si>
  <si>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</si>
  <si>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</si>
  <si>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</si>
  <si>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</si>
  <si>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</si>
  <si>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</si>
  <si>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</si>
  <si>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</si>
  <si>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</si>
  <si>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</si>
  <si>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</si>
  <si>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</si>
  <si>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</si>
  <si>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</si>
  <si>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</si>
  <si>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</si>
  <si>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</si>
  <si>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</si>
  <si>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</si>
  <si>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</si>
  <si>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</si>
  <si>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</si>
  <si>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</si>
  <si>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</si>
  <si>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</si>
  <si>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</si>
  <si>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</si>
  <si>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</si>
  <si>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</si>
  <si>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</si>
  <si>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</si>
  <si>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</si>
  <si>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</si>
  <si>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</si>
  <si>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</si>
  <si>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</si>
  <si>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</si>
  <si>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</si>
  <si>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</si>
  <si>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</si>
  <si>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</si>
  <si>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</si>
  <si>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</si>
  <si>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</si>
  <si>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</si>
  <si>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</si>
  <si>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</si>
  <si>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</si>
  <si>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</si>
  <si>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</si>
  <si>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</si>
  <si>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</si>
  <si>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</si>
  <si>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</si>
  <si>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</si>
  <si>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</si>
  <si>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</si>
  <si>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</si>
  <si>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</si>
  <si>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</si>
  <si>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</si>
  <si>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</si>
  <si>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</si>
  <si>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</si>
  <si>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</si>
  <si>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</si>
  <si>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</si>
  <si>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</si>
  <si>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</si>
  <si>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</si>
  <si>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</si>
  <si>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</si>
  <si>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</si>
  <si>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</si>
  <si>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</si>
  <si>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</si>
  <si>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</si>
  <si>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</si>
  <si>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</si>
  <si>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</si>
  <si>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</si>
  <si>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</si>
  <si>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</si>
  <si>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</si>
  <si>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</si>
  <si>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</si>
  <si>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</si>
  <si>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</si>
  <si>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</si>
  <si>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</si>
  <si>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</si>
  <si>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</si>
  <si>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</si>
  <si>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</si>
  <si>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</si>
  <si>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</si>
  <si>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</si>
  <si>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</si>
  <si>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</si>
  <si>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</si>
  <si>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</si>
  <si>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</si>
  <si>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</si>
  <si>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</si>
  <si>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</si>
  <si>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</si>
  <si>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</si>
  <si>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</si>
  <si>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</si>
  <si>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</si>
  <si>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</si>
  <si>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</si>
  <si>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</si>
  <si>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</si>
  <si>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</si>
  <si>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</si>
  <si>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</si>
  <si>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</si>
  <si>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</si>
  <si>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</si>
  <si>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</si>
  <si>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</si>
  <si>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</si>
  <si>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</si>
  <si>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</si>
  <si>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</si>
  <si>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</si>
  <si>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</si>
  <si>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</si>
  <si>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</si>
  <si>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</si>
  <si>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</si>
  <si>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</si>
  <si>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</si>
  <si>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</si>
  <si>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</si>
  <si>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</si>
  <si>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</si>
  <si>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</si>
  <si>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</si>
  <si>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</si>
  <si>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</si>
  <si>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</si>
  <si>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</si>
  <si>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</si>
  <si>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</si>
  <si>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</si>
  <si>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</si>
  <si>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</si>
  <si>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</si>
  <si>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</si>
  <si>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</si>
  <si>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</si>
  <si>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</si>
  <si>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</si>
  <si>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</si>
  <si>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</si>
  <si>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</si>
  <si>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</si>
  <si>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</si>
  <si>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</si>
  <si>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</si>
  <si>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</si>
  <si>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</si>
  <si>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</si>
  <si>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</si>
  <si>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</si>
  <si>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</si>
  <si>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</si>
  <si>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</si>
  <si>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</si>
  <si>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</si>
  <si>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</si>
  <si>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</si>
  <si>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</si>
  <si>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</si>
  <si>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</si>
  <si>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</si>
  <si>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</si>
  <si>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</si>
  <si>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</si>
  <si>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</si>
  <si>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</si>
  <si>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</si>
  <si>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</si>
  <si>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</si>
  <si>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</si>
  <si>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</si>
  <si>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</si>
  <si>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</si>
  <si>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</si>
  <si>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</si>
  <si>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</si>
  <si>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</si>
  <si>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</si>
  <si>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</si>
  <si>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</si>
  <si>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</si>
  <si>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</si>
  <si>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</si>
  <si>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</si>
  <si>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</si>
  <si>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</si>
  <si>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</si>
  <si>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</si>
  <si>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</si>
  <si>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</si>
  <si>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</si>
  <si>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</si>
  <si>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</si>
  <si>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</si>
  <si>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</si>
  <si>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</si>
  <si>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</si>
  <si>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</si>
  <si>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</si>
  <si>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</si>
  <si>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</si>
  <si>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</si>
  <si>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</si>
  <si>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</si>
  <si>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</si>
  <si>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</si>
  <si>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</si>
  <si>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</si>
  <si>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</si>
  <si>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</si>
  <si>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</si>
  <si>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</si>
  <si>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</si>
  <si>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</si>
  <si>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</si>
  <si>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</si>
  <si>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</si>
  <si>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</si>
  <si>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</si>
  <si>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</si>
  <si>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</si>
  <si>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</si>
  <si>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</si>
  <si>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</si>
  <si>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</si>
  <si>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</si>
  <si>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</si>
  <si>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</si>
  <si>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</si>
  <si>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</si>
  <si>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</si>
  <si>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</si>
  <si>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</si>
  <si>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</si>
  <si>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</si>
  <si>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</si>
  <si>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</si>
  <si>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</si>
  <si>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</si>
  <si>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</si>
  <si>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</si>
  <si>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</si>
  <si>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</si>
  <si>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</si>
  <si>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</si>
  <si>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</si>
  <si>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</si>
  <si>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</si>
  <si>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</si>
  <si>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</si>
  <si>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</si>
  <si>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</si>
  <si>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</si>
  <si>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</si>
  <si>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</si>
  <si>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</si>
  <si>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</si>
  <si>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</si>
  <si>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</si>
  <si>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</si>
  <si>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</si>
  <si>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</si>
  <si>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</si>
  <si>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</si>
  <si>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</si>
  <si>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</si>
  <si>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</si>
  <si>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</si>
  <si>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</si>
  <si>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</si>
  <si>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</si>
  <si>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</si>
  <si>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</si>
  <si>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</si>
  <si>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</si>
  <si>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</si>
  <si>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</si>
  <si>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</si>
  <si>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</si>
  <si>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</si>
  <si>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</si>
  <si>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</si>
  <si>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</si>
  <si>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</si>
  <si>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</si>
  <si>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</si>
  <si>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</si>
  <si>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</si>
  <si>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</si>
  <si>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</si>
  <si>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</si>
  <si>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</si>
  <si>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</si>
  <si>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</si>
  <si>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</si>
  <si>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</si>
  <si>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</si>
  <si>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</si>
  <si>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</si>
  <si>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</si>
  <si>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</si>
  <si>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</si>
  <si>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</si>
  <si>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</si>
  <si>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</si>
  <si>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</si>
  <si>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</si>
  <si>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</si>
  <si>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</si>
  <si>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</si>
  <si>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</si>
  <si>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</si>
  <si>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</si>
  <si>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</si>
  <si>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</si>
  <si>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</si>
  <si>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</si>
  <si>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</si>
  <si>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</si>
  <si>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</si>
  <si>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</si>
  <si>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</si>
  <si>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</si>
  <si>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</si>
  <si>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</si>
  <si>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</si>
  <si>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</si>
  <si>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</si>
  <si>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</si>
  <si>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</si>
  <si>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</si>
  <si>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</si>
  <si>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</si>
  <si>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</si>
  <si>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</si>
  <si>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</si>
  <si>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</si>
  <si>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</si>
  <si>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</si>
  <si>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</si>
  <si>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</si>
  <si>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</si>
  <si>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</si>
  <si>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</si>
  <si>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</si>
  <si>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</si>
  <si>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</si>
  <si>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</si>
  <si>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</si>
  <si>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</si>
  <si>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</si>
  <si>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</si>
  <si>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</si>
  <si>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</si>
  <si>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</si>
  <si>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</si>
  <si>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</si>
  <si>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</si>
  <si>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</si>
  <si>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</si>
  <si>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</si>
  <si>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</si>
  <si>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</si>
  <si>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</si>
  <si>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</si>
  <si>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</si>
  <si>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</si>
  <si>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</si>
  <si>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</si>
  <si>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</si>
  <si>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</si>
  <si>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</si>
  <si>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</si>
  <si>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</si>
  <si>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</si>
  <si>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</si>
  <si>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</si>
  <si>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</si>
  <si>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</si>
  <si>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</si>
  <si>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</si>
  <si>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</si>
  <si>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</si>
  <si>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</si>
  <si>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</si>
  <si>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</si>
  <si>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</si>
  <si>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</si>
  <si>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</si>
  <si>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</si>
  <si>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</si>
  <si>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</si>
  <si>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</si>
  <si>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</si>
  <si>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</si>
  <si>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</si>
  <si>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</si>
  <si>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</si>
  <si>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</si>
  <si>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</si>
  <si>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</si>
  <si>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</si>
  <si>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</si>
  <si>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</si>
  <si>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</si>
  <si>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</si>
  <si>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</si>
  <si>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</si>
  <si>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</si>
  <si>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</si>
  <si>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</si>
  <si>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</si>
  <si>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</si>
  <si>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</si>
  <si>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</si>
  <si>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</si>
  <si>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</si>
  <si>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</si>
  <si>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</si>
  <si>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</si>
  <si>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</si>
  <si>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</si>
  <si>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</si>
  <si>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</si>
  <si>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</si>
  <si>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</si>
  <si>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</si>
  <si>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</si>
  <si>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</si>
  <si>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</si>
  <si>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</si>
  <si>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</si>
  <si>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</si>
  <si>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</si>
  <si>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</si>
  <si>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</si>
  <si>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</si>
  <si>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</si>
  <si>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</si>
  <si>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</si>
  <si>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</si>
  <si>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</si>
  <si>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</si>
  <si>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</si>
  <si>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</si>
  <si>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</si>
  <si>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</si>
  <si>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</si>
  <si>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</si>
  <si>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</si>
  <si>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</si>
  <si>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</si>
  <si>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</si>
  <si>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</si>
  <si>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</si>
  <si>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</si>
  <si>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</si>
  <si>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</si>
  <si>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</si>
  <si>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</si>
  <si>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</si>
  <si>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</si>
  <si>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</si>
  <si>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</si>
  <si>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</si>
  <si>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</si>
  <si>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</si>
  <si>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</si>
  <si>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</si>
  <si>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</si>
  <si>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</si>
  <si>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</si>
  <si>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</si>
  <si>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</si>
  <si>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</si>
  <si>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</si>
  <si>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</si>
  <si>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</si>
  <si>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</si>
  <si>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</si>
  <si>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</si>
  <si>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</si>
  <si>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</si>
  <si>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</si>
  <si>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</si>
  <si>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</si>
  <si>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</si>
  <si>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</si>
  <si>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</si>
  <si>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</si>
  <si>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</si>
  <si>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</si>
  <si>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</si>
  <si>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</si>
  <si>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</si>
  <si>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</si>
  <si>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</si>
  <si>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</si>
  <si>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</si>
  <si>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</si>
  <si>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</si>
  <si>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</si>
  <si>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</si>
  <si>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</si>
  <si>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</si>
  <si>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</si>
  <si>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</si>
  <si>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</si>
  <si>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</si>
  <si>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</si>
  <si>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</si>
  <si>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</si>
  <si>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</si>
  <si>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</si>
  <si>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</si>
  <si>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</si>
  <si>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</si>
  <si>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</si>
  <si>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</si>
  <si>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</si>
  <si>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</si>
  <si>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</si>
  <si>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</si>
  <si>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</si>
  <si>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</si>
  <si>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</si>
  <si>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</si>
  <si>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</si>
  <si>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</si>
  <si>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</si>
  <si>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</si>
  <si>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</si>
  <si>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</si>
  <si>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</si>
  <si>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</si>
  <si>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</si>
  <si>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</si>
  <si>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</si>
  <si>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</si>
  <si>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</si>
  <si>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</si>
  <si>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</si>
  <si>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</si>
  <si>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</si>
  <si>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</si>
  <si>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</si>
  <si>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</si>
  <si>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</si>
  <si>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</si>
  <si>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</si>
  <si>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</si>
  <si>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</si>
  <si>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</si>
  <si>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</si>
  <si>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</si>
  <si>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</si>
  <si>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</si>
  <si>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</si>
  <si>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</si>
  <si>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</si>
  <si>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</si>
  <si>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</si>
  <si>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</si>
  <si>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</si>
  <si>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</si>
  <si>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</si>
  <si>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</si>
  <si>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</si>
  <si>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</si>
  <si>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</si>
  <si>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</si>
  <si>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</si>
  <si>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</si>
  <si>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</si>
  <si>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</si>
  <si>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</si>
  <si>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</si>
  <si>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</si>
  <si>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</si>
  <si>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</si>
  <si>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</si>
  <si>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</si>
  <si>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</si>
  <si>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</si>
  <si>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</si>
  <si>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</si>
  <si>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</si>
  <si>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</si>
  <si>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</si>
  <si>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</si>
  <si>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</si>
  <si>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</si>
  <si>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</si>
  <si>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</si>
  <si>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</si>
  <si>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</si>
  <si>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</si>
  <si>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</si>
  <si>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</si>
  <si>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</si>
  <si>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</si>
  <si>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</si>
  <si>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</si>
  <si>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</si>
  <si>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</si>
  <si>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</si>
  <si>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</si>
  <si>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</si>
  <si>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</si>
  <si>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</si>
  <si>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</si>
  <si>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</si>
  <si>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</si>
  <si>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</si>
  <si>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</si>
  <si>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</si>
  <si>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</si>
  <si>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</si>
  <si>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</si>
  <si>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</si>
  <si>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</si>
  <si>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</si>
  <si>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</si>
  <si>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</si>
  <si>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</si>
  <si>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</si>
  <si>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</si>
  <si>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</si>
  <si>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</si>
  <si>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</si>
  <si>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</si>
  <si>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</si>
  <si>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</si>
  <si>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</si>
  <si>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</si>
  <si>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</si>
  <si>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</si>
  <si>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</si>
  <si>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</si>
  <si>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</si>
  <si>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</si>
  <si>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</si>
  <si>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</si>
  <si>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</si>
  <si>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</si>
  <si>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</si>
  <si>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</si>
  <si>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</si>
  <si>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</si>
  <si>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</si>
  <si>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</si>
  <si>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</si>
  <si>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</si>
  <si>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</si>
  <si>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</si>
  <si>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</si>
  <si>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</si>
  <si>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</si>
  <si>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</si>
  <si>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</si>
  <si>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</si>
  <si>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</si>
  <si>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</si>
  <si>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</si>
  <si>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</si>
  <si>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</si>
  <si>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</si>
  <si>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</si>
  <si>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</si>
  <si>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</si>
  <si>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</si>
  <si>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</si>
  <si>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</si>
  <si>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</si>
  <si>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</si>
  <si>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</si>
  <si>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</si>
  <si>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</si>
  <si>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</si>
  <si>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</si>
  <si>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</si>
  <si>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</si>
  <si>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</si>
  <si>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</si>
  <si>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</si>
  <si>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</si>
  <si>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</si>
  <si>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</si>
  <si>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</si>
  <si>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</si>
  <si>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</si>
  <si>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</si>
  <si>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</si>
  <si>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</si>
  <si>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</si>
  <si>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</si>
  <si>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</si>
  <si>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</si>
  <si>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</si>
  <si>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</si>
  <si>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</si>
  <si>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</si>
  <si>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</si>
  <si>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</si>
  <si>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</si>
  <si>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</si>
  <si>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</si>
  <si>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</si>
  <si>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</si>
  <si>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</si>
  <si>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</si>
  <si>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</si>
  <si>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</si>
  <si>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</si>
  <si>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</si>
  <si>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</si>
  <si>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</si>
  <si>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</si>
  <si>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</si>
  <si>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</si>
  <si>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</si>
  <si>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</si>
  <si>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</si>
  <si>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</si>
  <si>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</si>
  <si>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</si>
  <si>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</si>
  <si>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</si>
  <si>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</si>
  <si>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</si>
  <si>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</si>
  <si>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</si>
  <si>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</si>
  <si>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</si>
  <si>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</si>
  <si>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</si>
  <si>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</si>
  <si>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</si>
  <si>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</si>
  <si>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</si>
  <si>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</si>
  <si>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</si>
  <si>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</si>
  <si>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</si>
  <si>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</si>
  <si>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</si>
  <si>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</si>
  <si>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</si>
  <si>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</si>
  <si>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</si>
  <si>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</si>
  <si>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</si>
  <si>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</si>
  <si>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</si>
  <si>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</si>
  <si>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</si>
  <si>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</si>
  <si>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</si>
  <si>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</si>
  <si>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</si>
  <si>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</si>
  <si>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</si>
  <si>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</si>
  <si>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</si>
  <si>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</si>
  <si>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</si>
  <si>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</si>
  <si>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</si>
  <si>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</si>
  <si>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</si>
  <si>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</si>
  <si>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</si>
  <si>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</si>
  <si>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</si>
  <si>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</si>
  <si>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</si>
  <si>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</si>
  <si>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</si>
  <si>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</si>
  <si>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</si>
  <si>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</si>
  <si>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</si>
  <si>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</si>
  <si>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</si>
  <si>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</si>
  <si>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</si>
  <si>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</si>
  <si>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</si>
  <si>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</si>
  <si>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</si>
  <si>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</si>
  <si>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</si>
  <si>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</si>
  <si>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</si>
  <si>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</si>
  <si>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</si>
  <si>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</si>
  <si>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</si>
  <si>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</si>
  <si>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</si>
  <si>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</si>
  <si>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</si>
  <si>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</si>
  <si>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</si>
  <si>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</si>
  <si>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</si>
  <si>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</si>
  <si>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</si>
  <si>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</si>
  <si>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</si>
  <si>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</si>
  <si>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</si>
  <si>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</si>
  <si>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</si>
  <si>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</si>
  <si>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</si>
  <si>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</si>
  <si>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</si>
  <si>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</si>
  <si>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</si>
  <si>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</si>
  <si>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</si>
  <si>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</si>
  <si>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</si>
  <si>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</si>
  <si>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</si>
  <si>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</si>
  <si>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</si>
  <si>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</si>
  <si>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</si>
  <si>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</si>
  <si>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</si>
  <si>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</si>
  <si>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</si>
  <si>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</si>
  <si>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</si>
  <si>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</si>
  <si>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</si>
  <si>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</si>
  <si>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</si>
  <si>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</si>
  <si>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</si>
  <si>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</si>
  <si>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</si>
  <si>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</si>
  <si>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</si>
  <si>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</si>
  <si>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</si>
  <si>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</si>
  <si>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</si>
  <si>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</si>
  <si>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</si>
  <si>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</si>
  <si>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</si>
  <si>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</si>
  <si>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</si>
  <si>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</si>
  <si>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</si>
  <si>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</si>
  <si>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</si>
  <si>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</si>
  <si>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</si>
  <si>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</si>
  <si>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</si>
  <si>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</si>
  <si>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</si>
  <si>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</si>
  <si>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</si>
  <si>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</si>
  <si>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</si>
  <si>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</si>
  <si>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</si>
  <si>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</si>
  <si>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</si>
  <si>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</si>
  <si>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</si>
  <si>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</si>
  <si>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</si>
  <si>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</si>
  <si>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</si>
  <si>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</si>
  <si>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</si>
  <si>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</si>
  <si>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</si>
  <si>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</si>
  <si>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</si>
  <si>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</si>
  <si>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</si>
  <si>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</si>
  <si>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</si>
  <si>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</si>
  <si>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</si>
  <si>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</si>
  <si>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</si>
  <si>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</si>
  <si>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</si>
  <si>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</si>
  <si>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</si>
  <si>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</si>
  <si>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</si>
  <si>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</si>
  <si>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</si>
  <si>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</si>
  <si>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</si>
  <si>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</si>
  <si>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</si>
  <si>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</si>
  <si>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</si>
  <si>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</si>
  <si>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</si>
  <si>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</si>
  <si>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</si>
  <si>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</si>
  <si>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</si>
  <si>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</si>
  <si>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</si>
  <si>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</si>
  <si>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</si>
  <si>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</si>
  <si>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</si>
  <si>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</si>
  <si>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</si>
  <si>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</si>
  <si>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</si>
  <si>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</si>
  <si>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</si>
  <si>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</si>
  <si>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</si>
  <si>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</si>
  <si>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</si>
  <si>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</si>
  <si>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</si>
  <si>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</si>
  <si>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</si>
  <si>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</si>
  <si>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</si>
  <si>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</si>
  <si>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</si>
  <si>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</si>
  <si>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</si>
  <si>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</si>
  <si>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</si>
  <si>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</si>
  <si>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</si>
  <si>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</si>
  <si>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</si>
  <si>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</si>
  <si>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</si>
  <si>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</si>
  <si>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</si>
  <si>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</si>
  <si>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</si>
  <si>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</si>
  <si>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</si>
  <si>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</si>
  <si>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</si>
  <si>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</si>
  <si>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</si>
  <si>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</si>
  <si>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</si>
  <si>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</si>
  <si>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</si>
  <si>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</si>
  <si>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</si>
  <si>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</si>
  <si>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</si>
  <si>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</si>
  <si>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</si>
  <si>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</si>
  <si>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</si>
  <si>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</si>
  <si>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</si>
  <si>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</si>
  <si>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</si>
  <si>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</si>
  <si>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</si>
  <si>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</si>
  <si>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</si>
  <si>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</si>
  <si>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</si>
  <si>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</si>
  <si>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</si>
  <si>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</si>
  <si>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</si>
  <si>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</si>
  <si>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</si>
  <si>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</si>
  <si>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</si>
  <si>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</si>
  <si>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</si>
  <si>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</si>
  <si>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</si>
  <si>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</si>
  <si>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</si>
  <si>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</si>
  <si>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</si>
  <si>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</si>
  <si>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</si>
  <si>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</si>
  <si>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</si>
  <si>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</si>
  <si>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</si>
  <si>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</si>
  <si>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</si>
  <si>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</si>
  <si>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</si>
  <si>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</si>
  <si>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</si>
  <si>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</si>
  <si>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</si>
  <si>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</si>
  <si>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</si>
  <si>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</si>
  <si>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</si>
  <si>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</si>
  <si>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</si>
  <si>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</si>
  <si>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</si>
  <si>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</si>
  <si>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</si>
  <si>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</si>
  <si>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</si>
  <si>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</si>
  <si>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</si>
  <si>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</si>
  <si>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</si>
  <si>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</si>
  <si>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</si>
  <si>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</si>
  <si>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</si>
  <si>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</si>
  <si>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</si>
  <si>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</si>
  <si>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</si>
  <si>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</si>
  <si>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</si>
  <si>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</si>
  <si>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</si>
  <si>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</si>
  <si>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</si>
  <si>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</si>
  <si>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</si>
  <si>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</si>
  <si>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</si>
  <si>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</si>
  <si>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</si>
  <si>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</si>
  <si>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</si>
  <si>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</si>
  <si>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</si>
  <si>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</si>
  <si>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</si>
  <si>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</si>
  <si>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</si>
  <si>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</si>
  <si>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</si>
  <si>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</si>
  <si>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</si>
  <si>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</si>
  <si>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</si>
  <si>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</si>
  <si>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</si>
  <si>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</si>
  <si>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</si>
  <si>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</si>
  <si>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</si>
  <si>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</si>
  <si>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</si>
  <si>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</si>
  <si>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</si>
  <si>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</si>
  <si>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</si>
  <si>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</si>
  <si>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</si>
  <si>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</si>
  <si>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</si>
  <si>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</si>
  <si>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</si>
  <si>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</si>
  <si>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</si>
  <si>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</si>
  <si>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</si>
  <si>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</si>
  <si>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</si>
  <si>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</si>
  <si>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</si>
  <si>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</si>
  <si>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</si>
  <si>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</si>
  <si>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</si>
  <si>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</si>
  <si>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</si>
  <si>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</si>
  <si>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</si>
  <si>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</si>
  <si>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</si>
  <si>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</si>
  <si>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</si>
  <si>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</si>
  <si>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</si>
  <si>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</si>
  <si>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</si>
  <si>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</si>
  <si>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</si>
  <si>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</si>
  <si>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</si>
  <si>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</si>
  <si>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</si>
  <si>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</si>
  <si>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</si>
  <si>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</si>
  <si>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</si>
  <si>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</si>
  <si>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</si>
  <si>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</si>
  <si>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</si>
  <si>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</si>
  <si>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</si>
  <si>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</si>
  <si>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</si>
  <si>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</si>
  <si>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</si>
  <si>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</si>
  <si>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</si>
  <si>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</si>
  <si>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</si>
  <si>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</si>
  <si>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</si>
  <si>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</si>
  <si>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</si>
  <si>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</si>
  <si>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</si>
  <si>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</si>
  <si>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</si>
  <si>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</si>
  <si>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</si>
  <si>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</si>
  <si>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</si>
  <si>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</si>
  <si>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</si>
  <si>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</si>
  <si>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</si>
  <si>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</si>
  <si>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</si>
  <si>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</si>
  <si>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</si>
  <si>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</si>
  <si>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</si>
  <si>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</si>
  <si>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</si>
  <si>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</si>
  <si>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</si>
  <si>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</si>
  <si>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</si>
  <si>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</si>
  <si>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</si>
  <si>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</si>
  <si>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</si>
  <si>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</si>
  <si>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</si>
  <si>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</si>
  <si>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</si>
  <si>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</si>
  <si>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</si>
  <si>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</si>
  <si>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</si>
  <si>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</si>
  <si>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</si>
  <si>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</si>
  <si>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</si>
  <si>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</si>
  <si>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</si>
  <si>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</si>
  <si>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</si>
  <si>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</si>
  <si>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</si>
  <si>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</si>
  <si>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</si>
  <si>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</si>
  <si>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</si>
  <si>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</si>
  <si>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</si>
  <si>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</si>
  <si>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</si>
  <si>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</si>
  <si>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</si>
  <si>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</si>
  <si>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</si>
  <si>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</si>
  <si>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</si>
  <si>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</si>
  <si>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</si>
  <si>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</si>
  <si>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</si>
  <si>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</si>
  <si>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</si>
  <si>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</si>
  <si>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</si>
  <si>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</si>
  <si>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</si>
  <si>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</si>
  <si>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</si>
  <si>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</si>
  <si>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</si>
  <si>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</si>
  <si>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</si>
  <si>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</si>
  <si>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</si>
  <si>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</si>
  <si>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</si>
  <si>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</si>
  <si>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</si>
  <si>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</si>
  <si>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</si>
  <si>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</si>
  <si>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</si>
  <si>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</si>
  <si>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</si>
  <si>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</si>
  <si>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</si>
  <si>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</si>
  <si>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</si>
  <si>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</si>
  <si>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</si>
  <si>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</si>
  <si>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</si>
  <si>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</si>
  <si>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</si>
  <si>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</si>
  <si>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</si>
  <si>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</si>
  <si>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</si>
  <si>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</si>
  <si>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</si>
  <si>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</si>
  <si>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</si>
  <si>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</si>
  <si>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</si>
  <si>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</si>
  <si>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</si>
  <si>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</si>
  <si>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</si>
  <si>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</si>
  <si>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</si>
  <si>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</si>
  <si>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</si>
  <si>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</si>
  <si>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</si>
  <si>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</si>
  <si>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</si>
  <si>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</si>
  <si>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</si>
  <si>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</si>
  <si>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</si>
  <si>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</si>
  <si>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</si>
  <si>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</si>
  <si>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</si>
  <si>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</si>
  <si>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</si>
  <si>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</si>
  <si>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</si>
  <si>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</si>
  <si>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</si>
  <si>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</si>
  <si>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</si>
  <si>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</si>
  <si>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</si>
  <si>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</si>
  <si>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</si>
  <si>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</si>
  <si>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</si>
  <si>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</si>
  <si>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</si>
  <si>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</si>
  <si>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</si>
  <si>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</si>
  <si>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</si>
  <si>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</si>
  <si>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</si>
  <si>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</si>
  <si>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</si>
  <si>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</si>
  <si>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</si>
  <si>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</si>
  <si>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</si>
  <si>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</si>
  <si>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</si>
  <si>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</si>
  <si>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</si>
  <si>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</si>
  <si>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</si>
  <si>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</si>
  <si>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</si>
  <si>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</si>
  <si>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</si>
  <si>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</si>
  <si>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</si>
  <si>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</si>
  <si>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</si>
  <si>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</si>
  <si>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</si>
  <si>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</si>
  <si>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</si>
  <si>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</si>
  <si>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</si>
  <si>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</si>
  <si>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</si>
  <si>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</si>
  <si>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</si>
  <si>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</si>
  <si>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</si>
  <si>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</si>
  <si>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</si>
  <si>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</si>
  <si>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</si>
  <si>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</si>
  <si>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</si>
  <si>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</si>
  <si>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</si>
  <si>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</si>
  <si>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</si>
  <si>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</si>
  <si>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</si>
  <si>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</si>
  <si>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</si>
  <si>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</si>
  <si>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</si>
  <si>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</si>
  <si>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</si>
  <si>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</si>
  <si>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</si>
  <si>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</si>
  <si>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</si>
  <si>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</si>
  <si>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</si>
  <si>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</si>
  <si>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</si>
  <si>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</si>
  <si>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</si>
  <si>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</si>
  <si>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</si>
  <si>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</si>
  <si>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</si>
  <si>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</si>
  <si>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</si>
  <si>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</si>
  <si>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</si>
  <si>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</si>
  <si>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</si>
  <si>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</si>
  <si>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</si>
  <si>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</si>
  <si>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</si>
  <si>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</si>
  <si>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</si>
  <si>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</si>
  <si>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</si>
  <si>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</si>
  <si>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</si>
  <si>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</si>
  <si>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</si>
  <si>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</si>
  <si>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</si>
  <si>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</si>
  <si>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</si>
  <si>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</si>
  <si>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</si>
  <si>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</si>
  <si>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</si>
  <si>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</si>
  <si>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</si>
  <si>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</si>
  <si>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</si>
  <si>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</si>
  <si>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</si>
  <si>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</si>
  <si>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</si>
  <si>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</si>
  <si>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</si>
  <si>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</si>
  <si>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</si>
  <si>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</si>
  <si>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</si>
  <si>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</si>
  <si>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</si>
  <si>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</si>
  <si>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</si>
  <si>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</si>
  <si>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</si>
  <si>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</si>
  <si>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</si>
  <si>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</si>
  <si>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</si>
  <si>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</si>
  <si>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</si>
  <si>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</si>
  <si>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</si>
  <si>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</si>
  <si>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</si>
  <si>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</si>
  <si>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</si>
  <si>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</si>
  <si>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</si>
  <si>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</si>
  <si>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</si>
  <si>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</si>
  <si>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</si>
  <si>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</si>
  <si>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</si>
  <si>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</si>
  <si>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</si>
  <si>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</si>
  <si>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</si>
  <si>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</si>
  <si>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</si>
  <si>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</si>
  <si>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</si>
  <si>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</si>
  <si>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</si>
  <si>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</si>
  <si>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</si>
  <si>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</si>
  <si>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</si>
  <si>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</si>
  <si>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</si>
  <si>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</si>
  <si>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</si>
  <si>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</si>
  <si>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</si>
  <si>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</si>
  <si>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</si>
  <si>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</si>
  <si>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</si>
  <si>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</si>
  <si>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</si>
  <si>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</si>
  <si>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</si>
  <si>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</si>
  <si>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</si>
  <si>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</si>
  <si>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</si>
  <si>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</si>
  <si>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</si>
  <si>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</si>
  <si>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</si>
  <si>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</si>
  <si>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</si>
  <si>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</si>
  <si>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</si>
  <si>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</si>
  <si>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</si>
  <si>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</si>
  <si>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</si>
  <si>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</si>
  <si>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</si>
  <si>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</si>
  <si>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</si>
  <si>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</si>
  <si>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</si>
  <si>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</si>
  <si>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</si>
  <si>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</si>
  <si>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</si>
  <si>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</si>
  <si>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</si>
  <si>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</si>
  <si>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</si>
  <si>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</si>
  <si>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</si>
  <si>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</si>
  <si>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</si>
  <si>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</si>
  <si>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</si>
  <si>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</si>
  <si>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</si>
  <si>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</si>
  <si>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</si>
  <si>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</si>
  <si>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</si>
  <si>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</si>
  <si>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</si>
  <si>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</si>
  <si>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</si>
  <si>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</si>
  <si>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</si>
  <si>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</si>
  <si>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</si>
  <si>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</si>
  <si>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</si>
  <si>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</si>
  <si>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</si>
  <si>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</si>
  <si>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</si>
  <si>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</si>
  <si>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</si>
  <si>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</si>
  <si>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</si>
  <si>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</si>
  <si>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</si>
  <si>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</si>
  <si>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</si>
  <si>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</si>
  <si>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</si>
  <si>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</si>
  <si>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</si>
  <si>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</si>
  <si>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</si>
  <si>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</si>
  <si>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</si>
  <si>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</si>
  <si>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</si>
  <si>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</si>
  <si>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</si>
  <si>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</si>
  <si>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</si>
  <si>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</si>
  <si>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</si>
  <si>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</si>
  <si>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</si>
  <si>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</si>
  <si>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</si>
  <si>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</si>
  <si>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</si>
  <si>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</si>
  <si>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</si>
  <si>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</si>
  <si>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</si>
  <si>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</si>
  <si>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</si>
  <si>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</si>
  <si>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</si>
  <si>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</si>
  <si>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</si>
  <si>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</si>
  <si>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</si>
  <si>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</si>
  <si>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</si>
  <si>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</si>
  <si>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</si>
  <si>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</si>
  <si>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</si>
  <si>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</si>
  <si>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</si>
  <si>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</si>
  <si>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</si>
  <si>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</si>
  <si>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</si>
  <si>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</si>
  <si>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</si>
  <si>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</si>
  <si>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</si>
  <si>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</si>
  <si>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</si>
  <si>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</si>
  <si>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</si>
  <si>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</si>
  <si>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</si>
  <si>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</si>
  <si>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</si>
  <si>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</si>
  <si>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</si>
  <si>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</si>
  <si>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</si>
  <si>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</si>
  <si>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</si>
  <si>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</si>
  <si>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</si>
  <si>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</si>
  <si>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</si>
  <si>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</si>
  <si>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</si>
  <si>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</si>
  <si>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</si>
  <si>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</si>
  <si>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</si>
  <si>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</si>
  <si>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</si>
  <si>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</si>
  <si>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</si>
  <si>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</si>
  <si>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</si>
  <si>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</si>
  <si>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</si>
  <si>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</si>
  <si>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</si>
  <si>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</si>
  <si>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</si>
  <si>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</si>
  <si>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</si>
  <si>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</si>
  <si>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</si>
  <si>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</si>
  <si>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</si>
  <si>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</si>
  <si>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</si>
  <si>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</si>
  <si>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</si>
  <si>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</si>
  <si>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</si>
  <si>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</si>
  <si>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</si>
  <si>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</si>
  <si>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</si>
  <si>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</si>
  <si>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</si>
  <si>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</si>
  <si>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</si>
  <si>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</si>
  <si>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</si>
  <si>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</si>
  <si>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</si>
  <si>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</si>
  <si>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</si>
  <si>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</si>
  <si>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</si>
  <si>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</si>
  <si>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</si>
  <si>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</si>
  <si>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</si>
  <si>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</si>
  <si>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</si>
  <si>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</si>
  <si>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</si>
  <si>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</si>
  <si>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</si>
  <si>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</si>
  <si>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</si>
  <si>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</si>
  <si>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</si>
  <si>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</si>
  <si>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</si>
  <si>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</si>
  <si>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</si>
  <si>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</si>
  <si>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</si>
  <si>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</si>
  <si>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</si>
  <si>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</si>
  <si>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</si>
  <si>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</si>
  <si>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</si>
  <si>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</si>
  <si>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</si>
  <si>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</si>
  <si>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</si>
  <si>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</si>
  <si>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</si>
  <si>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</si>
  <si>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</si>
  <si>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</si>
  <si>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</si>
  <si>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</si>
  <si>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</si>
  <si>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</si>
  <si>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</si>
  <si>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</si>
  <si>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</si>
  <si>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</si>
  <si>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</si>
  <si>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</si>
  <si>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</si>
  <si>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</si>
  <si>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</si>
  <si>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</si>
  <si>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</si>
  <si>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</si>
  <si>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</si>
  <si>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</si>
  <si>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</si>
  <si>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</si>
  <si>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</si>
  <si>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</si>
  <si>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</si>
  <si>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</si>
  <si>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</si>
  <si>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</si>
  <si>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</si>
  <si>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</si>
  <si>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</si>
  <si>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</si>
  <si>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</si>
  <si>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</si>
  <si>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</si>
  <si>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</si>
  <si>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</si>
  <si>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</si>
  <si>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</si>
  <si>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</si>
  <si>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</si>
  <si>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</si>
  <si>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</si>
  <si>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</si>
  <si>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</si>
  <si>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</si>
  <si>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</si>
  <si>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</si>
  <si>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</si>
  <si>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</si>
  <si>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</si>
  <si>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</si>
  <si>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</si>
  <si>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</si>
  <si>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</si>
  <si>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</si>
  <si>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</si>
  <si>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</si>
  <si>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</si>
  <si>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</si>
  <si>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</si>
  <si>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</si>
  <si>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</si>
  <si>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</si>
  <si>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</si>
  <si>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</si>
  <si>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</si>
  <si>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</si>
  <si>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</si>
  <si>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</si>
  <si>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</si>
  <si>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</si>
  <si>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</si>
  <si>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</si>
  <si>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</si>
  <si>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</si>
  <si>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</si>
  <si>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</si>
  <si>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</si>
  <si>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</si>
  <si>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</si>
  <si>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</si>
  <si>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</si>
  <si>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</si>
  <si>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</si>
  <si>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</si>
  <si>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</si>
  <si>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</si>
  <si>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</si>
  <si>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</si>
  <si>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</si>
  <si>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</si>
  <si>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</si>
  <si>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</si>
  <si>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</si>
  <si>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</si>
  <si>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</si>
  <si>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</si>
  <si>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</si>
  <si>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</si>
  <si>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</si>
  <si>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</si>
  <si>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</si>
  <si>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</si>
  <si>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</si>
  <si>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</si>
  <si>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</si>
  <si>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</si>
  <si>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</si>
  <si>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</si>
  <si>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</si>
  <si>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</si>
  <si>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</si>
  <si>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</si>
  <si>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</si>
  <si>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</si>
  <si>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</si>
  <si>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</si>
  <si>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</si>
  <si>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</si>
  <si>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</si>
  <si>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</si>
  <si>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</si>
  <si>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</si>
  <si>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</si>
  <si>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</si>
  <si>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</si>
  <si>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</si>
  <si>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</si>
  <si>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</si>
  <si>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</si>
  <si>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</si>
  <si>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</si>
  <si>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</si>
  <si>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</si>
  <si>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</si>
  <si>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</si>
  <si>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</si>
  <si>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</si>
  <si>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</si>
  <si>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</si>
  <si>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</si>
  <si>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</si>
  <si>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</si>
  <si>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</si>
  <si>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</si>
  <si>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</si>
  <si>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</si>
  <si>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</si>
  <si>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</si>
  <si>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</si>
  <si>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</si>
  <si>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</si>
  <si>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</si>
  <si>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</si>
  <si>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</si>
  <si>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</si>
  <si>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</si>
  <si>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</si>
  <si>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</si>
  <si>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</si>
  <si>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</si>
  <si>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</si>
  <si>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</si>
  <si>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</si>
  <si>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</si>
  <si>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</si>
  <si>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</si>
  <si>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</si>
  <si>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</si>
  <si>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</si>
  <si>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</si>
  <si>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</si>
  <si>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</si>
  <si>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</si>
  <si>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</si>
  <si>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</si>
  <si>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</si>
  <si>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</si>
  <si>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</si>
  <si>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</si>
  <si>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</si>
  <si>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</si>
  <si>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</si>
  <si>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</si>
  <si>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</si>
  <si>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</si>
  <si>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</si>
  <si>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</si>
  <si>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</si>
  <si>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</si>
  <si>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</si>
  <si>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</si>
  <si>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</si>
  <si>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</si>
  <si>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</si>
  <si>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</si>
  <si>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</si>
  <si>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</si>
  <si>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</si>
  <si>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</si>
  <si>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</si>
  <si>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</si>
  <si>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</si>
  <si>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</si>
  <si>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</si>
  <si>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</si>
  <si>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</si>
  <si>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</si>
  <si>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</si>
  <si>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</si>
  <si>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</si>
  <si>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</si>
  <si>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</si>
  <si>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</si>
  <si>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</si>
  <si>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</si>
  <si>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</si>
  <si>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</si>
  <si>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</si>
  <si>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</si>
  <si>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</si>
  <si>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</si>
  <si>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</si>
  <si>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</si>
  <si>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</si>
  <si>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</si>
  <si>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</si>
  <si>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</si>
  <si>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</si>
  <si>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</si>
  <si>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</si>
  <si>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</si>
  <si>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</si>
  <si>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</si>
  <si>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</si>
  <si>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</si>
  <si>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</si>
  <si>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</si>
  <si>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</si>
  <si>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</si>
  <si>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</si>
  <si>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</si>
  <si>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</si>
  <si>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</si>
  <si>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</si>
  <si>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</si>
  <si>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</si>
  <si>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</si>
  <si>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</si>
  <si>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</si>
  <si>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</si>
  <si>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</si>
  <si>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</si>
  <si>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</si>
  <si>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</si>
  <si>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</si>
  <si>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</si>
  <si>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</si>
  <si>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</si>
  <si>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</si>
  <si>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</si>
  <si>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</si>
  <si>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</si>
  <si>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</si>
  <si>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</si>
  <si>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</si>
  <si>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</si>
  <si>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</si>
  <si>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</si>
  <si>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</si>
  <si>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</si>
  <si>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</si>
  <si>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</si>
  <si>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</si>
  <si>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</si>
  <si>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</si>
  <si>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</si>
  <si>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</si>
  <si>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</si>
  <si>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</si>
  <si>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</si>
  <si>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</si>
  <si>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</si>
  <si>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</si>
  <si>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</si>
  <si>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</si>
  <si>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</si>
  <si>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</si>
  <si>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</si>
  <si>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</si>
  <si>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</si>
  <si>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</si>
  <si>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</si>
  <si>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</si>
  <si>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</si>
  <si>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</si>
  <si>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</si>
  <si>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</si>
  <si>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</si>
  <si>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</si>
  <si>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</si>
  <si>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</si>
  <si>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</si>
  <si>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</si>
  <si>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</si>
  <si>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</si>
  <si>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</si>
  <si>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</si>
  <si>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</si>
  <si>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</si>
  <si>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</si>
  <si>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</si>
  <si>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</si>
  <si>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</si>
  <si>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</si>
  <si>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</si>
  <si>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</si>
  <si>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</si>
  <si>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</si>
  <si>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</si>
  <si>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</si>
  <si>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</si>
  <si>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</si>
  <si>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</si>
  <si>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</si>
  <si>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</si>
  <si>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</si>
  <si>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</si>
  <si>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</si>
  <si>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</si>
  <si>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</si>
  <si>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</si>
  <si>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</si>
  <si>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</si>
  <si>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</si>
  <si>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</si>
  <si>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</si>
  <si>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</si>
  <si>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</si>
  <si>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</si>
  <si>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</si>
  <si>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</si>
  <si>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</si>
  <si>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</si>
  <si>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</si>
  <si>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</si>
  <si>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</si>
  <si>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</si>
  <si>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</si>
  <si>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</si>
  <si>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</si>
  <si>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</si>
  <si>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</si>
  <si>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</si>
  <si>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</si>
  <si>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</si>
  <si>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</si>
  <si>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</si>
  <si>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</si>
  <si>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</si>
  <si>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</si>
  <si>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</si>
  <si>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</si>
  <si>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</si>
  <si>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</si>
  <si>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</si>
  <si>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</si>
  <si>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</si>
  <si>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</si>
  <si>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</si>
  <si>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</si>
  <si>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</si>
  <si>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</si>
  <si>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</si>
  <si>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</si>
  <si>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</si>
  <si>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</si>
  <si>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</si>
  <si>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</si>
  <si>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</si>
  <si>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</si>
  <si>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</si>
  <si>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</si>
  <si>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</si>
  <si>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</si>
  <si>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</si>
  <si>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</si>
  <si>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</si>
  <si>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</si>
  <si>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</si>
  <si>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</si>
  <si>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</si>
  <si>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</si>
  <si>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</si>
  <si>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</si>
  <si>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</si>
  <si>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</si>
  <si>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</si>
  <si>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</si>
  <si>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</si>
  <si>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</si>
  <si>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</si>
  <si>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</si>
  <si>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</si>
  <si>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</si>
  <si>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</si>
  <si>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</si>
  <si>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</si>
  <si>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</si>
  <si>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</si>
  <si>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</si>
  <si>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</si>
  <si>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</si>
  <si>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</si>
  <si>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</si>
  <si>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</si>
  <si>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</si>
  <si>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</si>
  <si>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</si>
  <si>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</si>
  <si>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</si>
  <si>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</si>
  <si>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</si>
  <si>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</si>
  <si>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</si>
  <si>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</si>
  <si>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</si>
  <si>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</si>
  <si>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</si>
  <si>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</si>
  <si>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</si>
  <si>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</si>
  <si>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</si>
  <si>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</si>
  <si>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</si>
  <si>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</si>
  <si>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</si>
  <si>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</si>
  <si>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</si>
  <si>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</si>
  <si>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</si>
  <si>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</si>
  <si>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</si>
  <si>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</si>
  <si>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</si>
  <si>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</si>
  <si>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</si>
  <si>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</si>
  <si>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</si>
  <si>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</si>
  <si>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</si>
  <si>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</si>
  <si>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</si>
  <si>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</si>
  <si>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</si>
  <si>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</si>
  <si>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</si>
  <si>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</si>
  <si>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</si>
  <si>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</si>
  <si>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</si>
  <si>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</si>
  <si>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</si>
  <si>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</si>
  <si>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</si>
  <si>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</si>
  <si>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</si>
  <si>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</si>
  <si>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</si>
  <si>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</si>
  <si>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</si>
  <si>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</si>
  <si>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</si>
  <si>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</si>
  <si>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</si>
  <si>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</si>
  <si>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</si>
  <si>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</si>
  <si>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</si>
  <si>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</si>
  <si>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</si>
  <si>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</si>
  <si>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</si>
  <si>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</si>
  <si>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</si>
  <si>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</si>
  <si>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</si>
  <si>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</si>
  <si>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</si>
  <si>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</si>
  <si>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</si>
  <si>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</si>
  <si>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</si>
  <si>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</si>
  <si>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</si>
  <si>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</si>
  <si>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</si>
  <si>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</si>
  <si>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</si>
  <si>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</si>
  <si>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</si>
  <si>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</si>
  <si>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</si>
  <si>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</si>
  <si>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</si>
  <si>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</si>
  <si>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</si>
  <si>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</si>
  <si>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</si>
  <si>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</si>
  <si>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</si>
  <si>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</si>
  <si>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</si>
  <si>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</si>
  <si>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</si>
  <si>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</si>
  <si>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</si>
  <si>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</si>
  <si>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</si>
  <si>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</si>
  <si>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</si>
  <si>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</si>
  <si>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</si>
  <si>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</si>
  <si>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</si>
  <si>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</si>
  <si>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</si>
  <si>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</si>
  <si>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</si>
  <si>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</si>
  <si>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</si>
  <si>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</si>
  <si>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</si>
  <si>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</si>
  <si>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</si>
  <si>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</si>
  <si>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</si>
  <si>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</si>
  <si>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</si>
  <si>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</si>
  <si>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</si>
  <si>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</si>
  <si>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</si>
  <si>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</si>
  <si>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</si>
  <si>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</si>
  <si>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</si>
  <si>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</si>
  <si>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</si>
  <si>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</si>
  <si>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</si>
  <si>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</si>
  <si>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</si>
  <si>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</si>
  <si>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</si>
  <si>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</si>
  <si>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</si>
  <si>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</si>
  <si>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</si>
  <si>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</si>
  <si>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</si>
  <si>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</si>
  <si>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</si>
  <si>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</si>
  <si>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</si>
  <si>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</si>
  <si>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</si>
  <si>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</si>
  <si>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</si>
  <si>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</si>
  <si>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</si>
  <si>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</si>
  <si>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</si>
  <si>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</si>
  <si>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</si>
  <si>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</si>
  <si>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</si>
  <si>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</si>
  <si>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</si>
  <si>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</si>
  <si>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</si>
  <si>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</si>
  <si>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</si>
  <si>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</si>
  <si>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</si>
  <si>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</si>
  <si>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</si>
  <si>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</si>
  <si>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</si>
  <si>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</si>
  <si>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</si>
  <si>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</si>
  <si>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</si>
  <si>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</si>
  <si>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</si>
  <si>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</si>
  <si>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</si>
  <si>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</si>
  <si>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</si>
  <si>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</si>
  <si>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</si>
  <si>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</si>
  <si>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</si>
  <si>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</si>
  <si>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</si>
  <si>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</si>
  <si>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</si>
  <si>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</si>
  <si>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</si>
  <si>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</si>
  <si>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</si>
  <si>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</si>
  <si>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</si>
  <si>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</si>
  <si>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</si>
  <si>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</si>
  <si>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</si>
  <si>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</si>
  <si>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</si>
  <si>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</si>
  <si>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</si>
  <si>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</si>
  <si>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</si>
  <si>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</si>
  <si>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</si>
  <si>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</si>
  <si>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</si>
  <si>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</si>
  <si>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</si>
  <si>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</si>
  <si>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</si>
  <si>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</si>
  <si>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</si>
  <si>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</si>
  <si>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</si>
  <si>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</si>
  <si>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</si>
  <si>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</si>
  <si>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</si>
  <si>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</si>
  <si>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</si>
  <si>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</si>
  <si>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</si>
  <si>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</si>
  <si>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</si>
  <si>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</si>
  <si>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</si>
  <si>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</si>
  <si>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</si>
  <si>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</si>
  <si>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</si>
  <si>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</si>
  <si>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</si>
  <si>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</si>
  <si>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</si>
  <si>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</si>
  <si>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</si>
  <si>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</si>
  <si>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</si>
  <si>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</si>
  <si>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</si>
  <si>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</si>
  <si>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</si>
  <si>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</si>
  <si>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</si>
  <si>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</si>
  <si>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</si>
  <si>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</si>
  <si>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</si>
  <si>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</si>
  <si>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</si>
  <si>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</si>
  <si>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</si>
  <si>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</si>
  <si>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</si>
  <si>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</si>
  <si>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</si>
  <si>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</si>
  <si>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</si>
  <si>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</si>
  <si>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</si>
  <si>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</si>
  <si>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</si>
  <si>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</si>
  <si>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</si>
  <si>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</si>
  <si>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</si>
  <si>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</si>
  <si>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</si>
  <si>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</si>
  <si>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</si>
  <si>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</si>
  <si>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</si>
  <si>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</si>
  <si>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</si>
  <si>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</si>
  <si>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</si>
  <si>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</si>
  <si>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</si>
  <si>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</si>
  <si>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</si>
  <si>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</si>
  <si>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</si>
  <si>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</si>
  <si>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</si>
  <si>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</si>
  <si>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</si>
  <si>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</si>
  <si>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</si>
  <si>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</si>
  <si>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</si>
  <si>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</si>
  <si>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</si>
  <si>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</si>
  <si>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</si>
  <si>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</si>
  <si>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</si>
  <si>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</si>
  <si>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</si>
  <si>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</si>
  <si>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</si>
  <si>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</si>
  <si>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</si>
  <si>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</si>
  <si>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</si>
  <si>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</si>
  <si>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</si>
  <si>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</si>
  <si>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</si>
  <si>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</si>
  <si>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</si>
  <si>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</si>
  <si>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</si>
  <si>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</si>
  <si>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</si>
  <si>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</si>
  <si>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</si>
  <si>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</si>
  <si>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</si>
  <si>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</si>
  <si>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</si>
  <si>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</si>
  <si>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</si>
  <si>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</si>
  <si>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</si>
  <si>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</si>
  <si>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</si>
  <si>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</si>
  <si>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</si>
  <si>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</si>
  <si>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</si>
  <si>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</si>
  <si>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</si>
  <si>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</si>
  <si>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</si>
  <si>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</si>
  <si>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</si>
  <si>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</si>
  <si>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</si>
  <si>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</si>
  <si>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</si>
  <si>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</si>
  <si>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</si>
  <si>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</si>
  <si>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</si>
  <si>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</si>
  <si>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</si>
  <si>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</si>
  <si>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</si>
  <si>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</si>
  <si>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</si>
  <si>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</si>
  <si>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</si>
  <si>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</si>
  <si>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</si>
  <si>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</si>
  <si>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</si>
  <si>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</si>
  <si>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</si>
  <si>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</si>
  <si>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</si>
  <si>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</si>
  <si>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</si>
  <si>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</si>
  <si>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</si>
  <si>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</si>
  <si>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</si>
  <si>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</si>
  <si>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</si>
  <si>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</si>
  <si>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</si>
  <si>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</si>
  <si>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</si>
  <si>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</si>
  <si>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</si>
  <si>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</si>
  <si>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</si>
  <si>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</si>
  <si>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</si>
  <si>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</si>
  <si>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</si>
  <si>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</si>
  <si>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</si>
  <si>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</si>
  <si>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</si>
  <si>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</si>
  <si>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</si>
  <si>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</si>
  <si>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</si>
  <si>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</si>
  <si>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</si>
  <si>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</si>
  <si>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</si>
  <si>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</si>
  <si>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</si>
  <si>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</si>
  <si>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</si>
  <si>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</si>
  <si>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</si>
  <si>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</si>
  <si>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</si>
  <si>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</si>
  <si>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</si>
  <si>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</si>
  <si>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</si>
  <si>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</si>
  <si>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</si>
  <si>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</si>
  <si>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</si>
  <si>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</si>
  <si>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</si>
  <si>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</si>
  <si>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</si>
  <si>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</si>
  <si>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</si>
  <si>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</si>
  <si>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</si>
  <si>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</si>
  <si>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</si>
  <si>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</si>
  <si>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</si>
  <si>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</si>
  <si>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</si>
  <si>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</si>
  <si>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</si>
  <si>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</si>
  <si>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</si>
  <si>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</si>
  <si>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</si>
  <si>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</si>
  <si>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</si>
  <si>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</si>
  <si>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</si>
  <si>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</si>
  <si>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</si>
  <si>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</si>
  <si>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</si>
  <si>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</si>
  <si>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</si>
  <si>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</si>
  <si>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</si>
  <si>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</si>
  <si>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</si>
  <si>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</si>
  <si>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</si>
  <si>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</si>
  <si>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</si>
  <si>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</si>
  <si>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</si>
  <si>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</si>
  <si>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</si>
  <si>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</si>
  <si>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</si>
  <si>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</si>
  <si>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</si>
  <si>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</si>
  <si>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</si>
  <si>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</si>
  <si>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</si>
  <si>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</si>
  <si>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</si>
  <si>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</si>
  <si>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</si>
  <si>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</si>
  <si>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</si>
  <si>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</si>
  <si>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</si>
  <si>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</si>
  <si>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</si>
  <si>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</si>
  <si>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</si>
  <si>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</si>
  <si>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</si>
  <si>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</si>
  <si>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</si>
  <si>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</si>
  <si>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</si>
  <si>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</si>
  <si>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</si>
  <si>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</si>
  <si>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</si>
  <si>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</si>
  <si>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</si>
  <si>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</si>
  <si>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</si>
  <si>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</si>
  <si>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</si>
  <si>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</si>
  <si>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</si>
  <si>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</si>
  <si>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</si>
  <si>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</si>
  <si>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</si>
  <si>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</si>
  <si>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</si>
  <si>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</si>
  <si>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</si>
  <si>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</si>
  <si>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</si>
  <si>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</si>
  <si>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</si>
  <si>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</si>
  <si>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</si>
  <si>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</si>
  <si>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</si>
  <si>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</si>
  <si>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</si>
  <si>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</si>
  <si>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</si>
  <si>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</si>
  <si>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</si>
  <si>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</si>
  <si>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</si>
  <si>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</si>
  <si>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</si>
  <si>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</si>
  <si>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</si>
  <si>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</si>
  <si>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</si>
  <si>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</si>
  <si>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</si>
  <si>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</si>
  <si>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</si>
  <si>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</si>
  <si>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</si>
  <si>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</si>
  <si>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</si>
  <si>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</si>
  <si>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</si>
  <si>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</si>
  <si>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</si>
  <si>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</si>
  <si>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</si>
  <si>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</si>
  <si>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</si>
  <si>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</si>
  <si>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</si>
  <si>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</si>
  <si>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</si>
  <si>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</si>
  <si>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</si>
  <si>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</si>
  <si>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</si>
  <si>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</si>
  <si>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</si>
  <si>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</si>
  <si>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</si>
  <si>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</si>
  <si>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</si>
  <si>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</si>
  <si>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</si>
  <si>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</si>
  <si>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</si>
  <si>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</si>
  <si>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</si>
  <si>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</si>
  <si>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</si>
  <si>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</si>
  <si>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</si>
  <si>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</si>
  <si>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</si>
  <si>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</si>
  <si>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</si>
  <si>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</si>
  <si>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</si>
  <si>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</si>
  <si>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</si>
  <si>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</si>
  <si>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</si>
  <si>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</si>
  <si>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</si>
  <si>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</si>
  <si>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</si>
  <si>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</si>
  <si>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</si>
  <si>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</si>
  <si>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</si>
  <si>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</si>
  <si>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</si>
  <si>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</si>
  <si>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</si>
  <si>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</si>
  <si>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</si>
  <si>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</si>
  <si>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</si>
  <si>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</si>
  <si>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</si>
  <si>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</si>
  <si>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</si>
  <si>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</si>
  <si>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</si>
  <si>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</si>
  <si>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</si>
  <si>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</si>
  <si>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</si>
  <si>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</si>
  <si>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</si>
  <si>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</si>
  <si>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</si>
  <si>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</si>
  <si>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</si>
  <si>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</si>
  <si>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</si>
  <si>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</si>
  <si>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</si>
  <si>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</si>
  <si>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</si>
  <si>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</si>
  <si>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</si>
  <si>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</si>
  <si>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</si>
  <si>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</si>
  <si>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</si>
  <si>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</si>
  <si>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</si>
  <si>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</si>
  <si>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</si>
  <si>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</si>
  <si>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</si>
  <si>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</si>
  <si>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</si>
  <si>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</si>
  <si>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</si>
  <si>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</si>
  <si>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</si>
  <si>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</si>
  <si>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</si>
  <si>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</si>
  <si>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</si>
  <si>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</si>
  <si>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</si>
  <si>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</si>
  <si>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</si>
  <si>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</si>
  <si>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</si>
  <si>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</si>
  <si>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</si>
  <si>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</si>
  <si>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</si>
  <si>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</si>
  <si>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</si>
  <si>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</si>
  <si>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</si>
  <si>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</si>
  <si>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</si>
  <si>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</si>
  <si>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</si>
  <si>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</si>
  <si>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</si>
  <si>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</si>
  <si>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</si>
  <si>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</si>
  <si>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</si>
  <si>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</si>
  <si>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</si>
  <si>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</si>
  <si>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</si>
  <si>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</si>
  <si>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</si>
  <si>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</si>
  <si>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</si>
  <si>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</si>
  <si>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</si>
  <si>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</si>
  <si>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</si>
  <si>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</si>
  <si>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</si>
  <si>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</si>
  <si>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</si>
  <si>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</si>
  <si>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</si>
  <si>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</si>
  <si>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</si>
  <si>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</si>
  <si>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</si>
  <si>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</si>
  <si>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</si>
  <si>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</si>
  <si>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</si>
  <si>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</si>
  <si>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</si>
  <si>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</si>
  <si>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</si>
  <si>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</si>
  <si>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</si>
  <si>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</si>
  <si>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</si>
  <si>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</si>
  <si>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</si>
  <si>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</si>
  <si>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</si>
  <si>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</si>
  <si>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</si>
  <si>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</si>
  <si>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</si>
  <si>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</si>
  <si>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</si>
  <si>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</si>
  <si>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</si>
  <si>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</si>
  <si>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</si>
  <si>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</si>
  <si>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</si>
  <si>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</si>
  <si>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</si>
  <si>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</si>
  <si>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</si>
  <si>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</si>
  <si>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</si>
  <si>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</si>
  <si>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</si>
  <si>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</si>
  <si>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</si>
  <si>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</si>
  <si>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</si>
  <si>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</si>
  <si>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</si>
  <si>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</si>
  <si>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</si>
  <si>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</si>
  <si>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</si>
  <si>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</si>
  <si>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</si>
  <si>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</si>
  <si>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</si>
  <si>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</si>
  <si>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</si>
  <si>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</si>
  <si>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</si>
  <si>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</si>
  <si>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</si>
  <si>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</si>
  <si>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</si>
  <si>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</si>
  <si>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</si>
  <si>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</si>
  <si>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</si>
  <si>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</si>
  <si>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</si>
  <si>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</si>
  <si>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</si>
  <si>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</si>
  <si>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</si>
  <si>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</si>
  <si>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</si>
  <si>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</si>
  <si>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</si>
  <si>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</si>
  <si>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</si>
  <si>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</si>
  <si>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</si>
  <si>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</si>
  <si>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</si>
  <si>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</si>
  <si>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</si>
  <si>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</si>
  <si>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</si>
  <si>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</si>
  <si>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</si>
  <si>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</si>
  <si>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</si>
  <si>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</si>
  <si>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</si>
  <si>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</si>
  <si>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</si>
  <si>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</si>
  <si>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</si>
  <si>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</si>
  <si>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</si>
  <si>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</si>
  <si>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</si>
  <si>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</si>
  <si>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</si>
  <si>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</si>
  <si>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</si>
  <si>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</si>
  <si>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</si>
  <si>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</si>
  <si>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</si>
  <si>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</si>
  <si>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</si>
  <si>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</si>
  <si>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</si>
  <si>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</si>
  <si>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</si>
  <si>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</si>
  <si>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</si>
  <si>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</si>
  <si>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</si>
  <si>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</si>
  <si>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</si>
  <si>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</si>
  <si>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</si>
  <si>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</si>
  <si>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</si>
  <si>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</si>
  <si>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</si>
  <si>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</si>
  <si>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</si>
  <si>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</si>
  <si>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</si>
  <si>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</si>
  <si>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</si>
  <si>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</si>
  <si>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</si>
  <si>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</si>
  <si>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</si>
  <si>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</si>
  <si>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</si>
  <si>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</si>
  <si>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</si>
  <si>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</si>
  <si>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</si>
  <si>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</si>
  <si>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</si>
  <si>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</si>
  <si>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</si>
  <si>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</si>
  <si>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</si>
  <si>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</si>
  <si>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</si>
  <si>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</si>
  <si>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</si>
  <si>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</si>
  <si>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</si>
  <si>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</si>
  <si>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</si>
  <si>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</si>
  <si>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</si>
  <si>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</si>
  <si>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</si>
  <si>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</si>
  <si>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</si>
  <si>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</si>
  <si>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</si>
  <si>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</si>
  <si>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</si>
  <si>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</si>
  <si>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</si>
  <si>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</si>
  <si>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</si>
  <si>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</si>
  <si>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</si>
  <si>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</si>
  <si>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</si>
  <si>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</si>
  <si>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</si>
  <si>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</si>
  <si>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</si>
  <si>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</si>
  <si>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</si>
  <si>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</si>
  <si>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</si>
  <si>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</si>
  <si>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</si>
  <si>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</si>
  <si>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</si>
  <si>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</si>
  <si>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</si>
  <si>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</si>
  <si>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</si>
  <si>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</si>
  <si>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</si>
  <si>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</si>
  <si>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</si>
  <si>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</si>
  <si>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</si>
  <si>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</si>
  <si>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</si>
  <si>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</si>
  <si>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</si>
  <si>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</si>
  <si>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</si>
  <si>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</si>
  <si>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</si>
  <si>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</si>
  <si>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</si>
  <si>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</si>
  <si>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</si>
  <si>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</si>
  <si>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</si>
  <si>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</si>
  <si>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</si>
  <si>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</si>
  <si>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</si>
  <si>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</si>
  <si>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</si>
  <si>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</si>
  <si>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</si>
  <si>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</si>
  <si>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</si>
  <si>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</si>
  <si>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</si>
  <si>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</si>
  <si>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</si>
  <si>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</si>
  <si>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</si>
  <si>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</si>
  <si>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</si>
  <si>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</si>
  <si>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</si>
  <si>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</si>
  <si>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</si>
  <si>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</si>
  <si>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</si>
  <si>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</si>
  <si>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</si>
  <si>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</si>
  <si>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</si>
  <si>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</si>
  <si>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</si>
  <si>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</si>
  <si>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</si>
  <si>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</si>
  <si>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</si>
  <si>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</si>
  <si>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</si>
  <si>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</si>
  <si>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</si>
  <si>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</si>
  <si>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</si>
  <si>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</si>
  <si>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</si>
  <si>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</si>
  <si>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</si>
  <si>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</si>
  <si>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</si>
  <si>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</si>
  <si>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</si>
  <si>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</si>
  <si>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</si>
  <si>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</si>
  <si>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</si>
  <si>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</si>
  <si>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</si>
  <si>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</si>
  <si>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</si>
  <si>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</si>
  <si>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</si>
  <si>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</si>
  <si>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</si>
  <si>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</si>
  <si>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</si>
  <si>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</si>
  <si>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</si>
  <si>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</si>
  <si>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</si>
  <si>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</si>
  <si>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</si>
  <si>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</si>
  <si>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</si>
  <si>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</si>
  <si>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</si>
  <si>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</si>
  <si>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</si>
  <si>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</si>
  <si>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</si>
  <si>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</si>
  <si>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</si>
  <si>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</si>
  <si>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</si>
  <si>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</si>
  <si>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</si>
  <si>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</si>
  <si>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</si>
  <si>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</si>
  <si>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</si>
  <si>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</si>
  <si>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</si>
  <si>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</si>
  <si>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</si>
  <si>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</si>
  <si>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</si>
  <si>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</si>
  <si>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</si>
  <si>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</si>
  <si>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</si>
  <si>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</si>
  <si>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</si>
  <si>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</si>
  <si>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</si>
  <si>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</si>
  <si>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</si>
  <si>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</si>
  <si>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</si>
  <si>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</si>
  <si>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</si>
  <si>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</si>
  <si>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</si>
  <si>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</si>
  <si>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</si>
  <si>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</si>
  <si>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</si>
  <si>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</si>
  <si>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</si>
  <si>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</si>
  <si>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</si>
  <si>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</si>
  <si>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</si>
  <si>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</si>
  <si>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</si>
  <si>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</si>
  <si>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</si>
  <si>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</si>
  <si>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</si>
  <si>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</si>
  <si>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</si>
  <si>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</si>
  <si>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</si>
  <si>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</si>
  <si>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</si>
  <si>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</si>
  <si>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</si>
  <si>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</si>
  <si>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</si>
  <si>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</si>
  <si>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</si>
  <si>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</si>
  <si>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</si>
  <si>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</si>
  <si>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</si>
  <si>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</si>
  <si>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</si>
  <si>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</si>
  <si>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</si>
  <si>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</si>
  <si>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</si>
  <si>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</si>
  <si>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</si>
  <si>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</si>
  <si>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</si>
  <si>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</si>
  <si>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</si>
  <si>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</si>
  <si>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</si>
  <si>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</si>
  <si>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</si>
  <si>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</si>
  <si>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</si>
  <si>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</si>
  <si>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</si>
  <si>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</si>
  <si>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</si>
  <si>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</si>
  <si>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</si>
  <si>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</si>
  <si>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</si>
  <si>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</si>
  <si>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</si>
  <si>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</si>
  <si>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</si>
  <si>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</si>
  <si>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</si>
  <si>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</si>
  <si>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</si>
  <si>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</si>
  <si>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</si>
  <si>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</si>
  <si>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</si>
  <si>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</si>
  <si>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</si>
  <si>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</si>
  <si>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</si>
  <si>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</si>
  <si>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</si>
  <si>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</si>
  <si>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</si>
  <si>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</si>
  <si>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</si>
  <si>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</si>
  <si>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</si>
  <si>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</si>
  <si>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</si>
  <si>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</si>
  <si>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</si>
  <si>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</si>
  <si>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</si>
  <si>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</si>
  <si>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</si>
  <si>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</si>
  <si>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</si>
  <si>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</si>
  <si>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</si>
  <si>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</si>
  <si>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</si>
  <si>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</si>
  <si>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</si>
  <si>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</si>
  <si>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</si>
  <si>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</si>
  <si>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</si>
  <si>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</si>
  <si>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</si>
  <si>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</si>
  <si>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</si>
  <si>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</si>
  <si>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</si>
  <si>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</si>
  <si>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</si>
  <si>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</si>
  <si>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</si>
  <si>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</si>
  <si>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</si>
  <si>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</si>
  <si>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</si>
  <si>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</si>
  <si>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</si>
  <si>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</si>
  <si>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</si>
  <si>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</si>
  <si>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</si>
  <si>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</si>
  <si>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</si>
  <si>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</si>
  <si>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</si>
  <si>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</si>
  <si>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</si>
  <si>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</si>
  <si>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</si>
  <si>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</si>
  <si>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</si>
  <si>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</si>
  <si>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</si>
  <si>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</si>
  <si>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</si>
  <si>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</si>
  <si>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</si>
  <si>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</si>
  <si>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</si>
  <si>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</si>
  <si>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</si>
  <si>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</si>
  <si>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</si>
  <si>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</si>
  <si>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</si>
  <si>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</si>
  <si>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</si>
  <si>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</si>
  <si>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</si>
  <si>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</si>
  <si>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</si>
  <si>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</si>
  <si>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</si>
  <si>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</si>
  <si>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</si>
  <si>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</si>
  <si>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</si>
  <si>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</si>
  <si>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</si>
  <si>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</si>
  <si>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</si>
  <si>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</si>
  <si>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</si>
  <si>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</si>
  <si>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</si>
  <si>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</si>
  <si>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</si>
  <si>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</si>
  <si>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</si>
  <si>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</si>
  <si>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</si>
  <si>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</si>
  <si>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</si>
  <si>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</si>
  <si>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</si>
  <si>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</si>
  <si>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</si>
  <si>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</si>
  <si>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</si>
  <si>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</si>
  <si>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</si>
  <si>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</si>
  <si>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</si>
  <si>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</si>
  <si>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</si>
  <si>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</si>
  <si>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</si>
  <si>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</si>
  <si>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</si>
  <si>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</si>
  <si>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</si>
  <si>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</si>
  <si>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</si>
  <si>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</si>
  <si>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</si>
  <si>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</si>
  <si>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</si>
  <si>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</si>
  <si>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</si>
  <si>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</si>
  <si>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</si>
  <si>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</si>
  <si>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</si>
  <si>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</si>
  <si>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</si>
  <si>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</si>
  <si>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</si>
  <si>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</si>
  <si>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</si>
  <si>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</si>
  <si>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</si>
  <si>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</si>
  <si>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</si>
  <si>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</si>
  <si>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</si>
  <si>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</si>
  <si>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</si>
  <si>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</si>
  <si>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</si>
  <si>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</si>
  <si>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</si>
  <si>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</si>
  <si>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</si>
  <si>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</si>
  <si>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</si>
  <si>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</si>
  <si>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</si>
  <si>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</si>
  <si>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</si>
  <si>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</si>
  <si>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</si>
  <si>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</si>
  <si>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</si>
  <si>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</si>
  <si>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</si>
  <si>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</si>
  <si>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</si>
  <si>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</si>
  <si>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</si>
  <si>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</si>
  <si>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</si>
  <si>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</si>
  <si>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</si>
  <si>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</si>
  <si>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</si>
  <si>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</si>
  <si>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</si>
  <si>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</si>
  <si>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</si>
  <si>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</si>
  <si>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</si>
  <si>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</si>
  <si>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</si>
  <si>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</si>
  <si>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</si>
  <si>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</si>
  <si>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</si>
  <si>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</si>
  <si>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</si>
  <si>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</si>
  <si>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</si>
  <si>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</si>
  <si>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</si>
  <si>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</si>
  <si>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</si>
  <si>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</si>
  <si>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</si>
  <si>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</si>
  <si>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</si>
  <si>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</si>
  <si>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</si>
  <si>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</si>
  <si>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</si>
  <si>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</si>
  <si>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</si>
  <si>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</si>
  <si>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</si>
  <si>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</si>
  <si>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</si>
  <si>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</si>
  <si>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</si>
  <si>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</si>
  <si>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</si>
  <si>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</si>
  <si>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</si>
  <si>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</si>
  <si>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</si>
  <si>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</si>
  <si>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</si>
  <si>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</si>
  <si>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</si>
  <si>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</si>
  <si>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</si>
  <si>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</si>
  <si>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</si>
  <si>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</si>
  <si>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</si>
  <si>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</si>
  <si>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</si>
  <si>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</si>
  <si>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</si>
  <si>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</si>
  <si>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</si>
  <si>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</si>
  <si>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</si>
  <si>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</si>
  <si>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</si>
  <si>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</si>
  <si>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</si>
  <si>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</si>
  <si>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</si>
  <si>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</si>
  <si>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</si>
  <si>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</si>
  <si>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</si>
  <si>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</si>
  <si>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</si>
  <si>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</si>
  <si>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</si>
  <si>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</si>
  <si>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</si>
  <si>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</si>
  <si>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</si>
  <si>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</si>
  <si>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</si>
  <si>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</si>
  <si>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</si>
  <si>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</si>
  <si>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</si>
  <si>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</si>
  <si>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</si>
  <si>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</si>
  <si>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</si>
  <si>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</si>
  <si>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</si>
  <si>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</si>
  <si>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</si>
  <si>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</si>
  <si>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</si>
  <si>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</si>
  <si>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</si>
  <si>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</si>
  <si>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</si>
  <si>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</si>
  <si>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</si>
  <si>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</si>
  <si>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</si>
  <si>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</si>
  <si>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</si>
  <si>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</si>
  <si>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</si>
  <si>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</si>
  <si>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</si>
  <si>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</si>
  <si>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</si>
  <si>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</si>
  <si>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</si>
  <si>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</si>
  <si>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</si>
  <si>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</si>
  <si>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</si>
  <si>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</si>
  <si>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</si>
  <si>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</si>
  <si>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</si>
  <si>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</si>
  <si>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</si>
  <si>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</si>
  <si>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</si>
  <si>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</si>
  <si>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</si>
  <si>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</si>
  <si>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</si>
  <si>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</si>
  <si>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</si>
  <si>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</si>
  <si>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</si>
  <si>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</si>
  <si>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</si>
  <si>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</si>
  <si>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</si>
  <si>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</si>
  <si>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</si>
  <si>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</si>
  <si>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</si>
  <si>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</si>
  <si>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</si>
  <si>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</si>
  <si>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</si>
  <si>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</si>
  <si>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</si>
  <si>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</si>
  <si>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</si>
  <si>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</si>
  <si>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</si>
  <si>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</si>
  <si>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</si>
  <si>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</si>
  <si>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</si>
  <si>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</si>
  <si>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</si>
  <si>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</si>
  <si>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</si>
  <si>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</si>
  <si>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</si>
  <si>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</si>
  <si>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</si>
  <si>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</si>
  <si>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</si>
  <si>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</si>
  <si>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</si>
  <si>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</si>
  <si>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</si>
  <si>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</si>
  <si>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</si>
  <si>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</si>
  <si>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</si>
  <si>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</si>
  <si>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</si>
  <si>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</si>
  <si>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</si>
  <si>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</si>
  <si>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</si>
  <si>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</si>
  <si>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</si>
  <si>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</si>
  <si>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</si>
  <si>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</si>
  <si>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</si>
  <si>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</si>
  <si>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</si>
  <si>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</si>
  <si>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</si>
  <si>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</si>
  <si>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</si>
  <si>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</si>
  <si>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</si>
  <si>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</si>
  <si>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</si>
  <si>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</si>
  <si>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</si>
  <si>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</si>
  <si>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</si>
  <si>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</si>
  <si>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</si>
  <si>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</si>
  <si>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</si>
  <si>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</si>
  <si>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</si>
  <si>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</si>
  <si>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</si>
  <si>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</si>
  <si>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</si>
  <si>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</si>
  <si>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</si>
  <si>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</si>
  <si>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</si>
  <si>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</si>
  <si>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</si>
  <si>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</si>
  <si>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</si>
  <si>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</si>
  <si>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</si>
  <si>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</si>
  <si>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</si>
  <si>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</si>
  <si>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</si>
  <si>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</si>
  <si>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</si>
  <si>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</si>
  <si>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</si>
  <si>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</si>
  <si>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</si>
  <si>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</si>
  <si>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</si>
  <si>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</si>
  <si>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</si>
  <si>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</si>
  <si>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</si>
  <si>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</si>
  <si>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</si>
  <si>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</si>
  <si>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</si>
  <si>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</si>
  <si>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</si>
  <si>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</si>
  <si>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</si>
  <si>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</si>
  <si>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</si>
  <si>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</si>
  <si>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</si>
  <si>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</si>
  <si>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</si>
  <si>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</si>
  <si>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</si>
  <si>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</si>
  <si>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</si>
  <si>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</si>
  <si>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</si>
  <si>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</si>
  <si>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</si>
  <si>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</si>
  <si>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</si>
  <si>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</si>
  <si>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</si>
  <si>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</si>
  <si>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</si>
  <si>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</si>
  <si>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</si>
  <si>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</si>
  <si>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</si>
  <si>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</si>
  <si>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</si>
  <si>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</si>
  <si>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</si>
  <si>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</si>
  <si>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</si>
  <si>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</si>
  <si>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</si>
  <si>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</si>
  <si>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</si>
  <si>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</si>
  <si>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</si>
  <si>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</si>
  <si>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</si>
  <si>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</si>
  <si>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</si>
  <si>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</si>
  <si>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</si>
  <si>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</si>
  <si>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</si>
  <si>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</si>
  <si>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</si>
  <si>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</si>
  <si>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</si>
  <si>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</si>
  <si>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</si>
  <si>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</si>
  <si>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</si>
  <si>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</si>
  <si>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</si>
  <si>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</si>
  <si>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</si>
  <si>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</si>
  <si>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</si>
  <si>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</si>
  <si>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</si>
  <si>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</si>
  <si>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</si>
  <si>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</si>
  <si>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</si>
  <si>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</si>
  <si>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</si>
  <si>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</si>
  <si>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</si>
  <si>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</si>
  <si>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</si>
  <si>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</si>
  <si>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</si>
  <si>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</si>
  <si>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</si>
  <si>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</si>
  <si>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</si>
  <si>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</si>
  <si>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</si>
  <si>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</si>
  <si>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</si>
  <si>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</si>
  <si>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</si>
  <si>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</si>
  <si>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</si>
  <si>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</si>
  <si>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</si>
  <si>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</si>
  <si>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</si>
  <si>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</si>
  <si>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</si>
  <si>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</si>
  <si>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</si>
  <si>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</si>
  <si>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</si>
  <si>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</si>
  <si>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</si>
  <si>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</si>
  <si>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</si>
  <si>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</si>
  <si>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</si>
  <si>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</si>
  <si>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</si>
  <si>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</si>
  <si>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</si>
  <si>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</si>
  <si>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</si>
  <si>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</si>
  <si>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</si>
  <si>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</si>
  <si>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</si>
  <si>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</si>
  <si>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</si>
  <si>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</si>
  <si>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</si>
  <si>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</si>
  <si>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</si>
  <si>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</si>
  <si>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</si>
  <si>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</si>
  <si>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</si>
  <si>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</si>
  <si>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</si>
  <si>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</si>
  <si>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</si>
  <si>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</si>
  <si>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</si>
  <si>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</si>
  <si>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</si>
  <si>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</si>
  <si>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</si>
  <si>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</si>
  <si>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</si>
  <si>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</si>
  <si>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</si>
  <si>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</si>
  <si>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</si>
  <si>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</si>
  <si>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</si>
  <si>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</si>
  <si>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</si>
  <si>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</si>
  <si>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</si>
  <si>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</si>
  <si>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</si>
  <si>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</si>
  <si>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</si>
  <si>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</si>
  <si>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</si>
  <si>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</si>
  <si>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</si>
  <si>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</si>
  <si>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</si>
  <si>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</si>
  <si>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</si>
  <si>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</si>
  <si>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</si>
  <si>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</si>
  <si>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</si>
  <si>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</si>
  <si>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</si>
  <si>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</si>
  <si>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</si>
  <si>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</si>
  <si>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</si>
  <si>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</si>
  <si>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</si>
  <si>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</si>
  <si>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</si>
  <si>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</si>
  <si>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</si>
  <si>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</si>
  <si>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</si>
  <si>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</si>
  <si>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</si>
  <si>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</si>
  <si>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</si>
  <si>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</si>
  <si>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</si>
  <si>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</si>
  <si>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</si>
  <si>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</si>
  <si>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</si>
  <si>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</si>
  <si>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</si>
  <si>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</si>
  <si>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</si>
  <si>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</si>
  <si>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</si>
  <si>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</si>
  <si>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</si>
  <si>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</si>
  <si>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</si>
  <si>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</si>
  <si>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</si>
  <si>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</si>
  <si>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</si>
  <si>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</si>
  <si>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</si>
  <si>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</si>
  <si>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</si>
  <si>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</si>
  <si>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</si>
  <si>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</si>
  <si>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</si>
  <si>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</si>
  <si>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</si>
  <si>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</si>
  <si>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</si>
  <si>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</si>
  <si>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</si>
  <si>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</si>
  <si>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</si>
  <si>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</si>
  <si>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</si>
  <si>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</si>
  <si>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</si>
  <si>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</si>
  <si>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</si>
  <si>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</si>
  <si>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</si>
  <si>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</si>
  <si>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</si>
  <si>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</si>
  <si>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</si>
  <si>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</si>
  <si>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</si>
  <si>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</si>
  <si>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</si>
  <si>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</si>
  <si>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</si>
  <si>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</si>
  <si>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</si>
  <si>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</si>
  <si>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</si>
  <si>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</si>
  <si>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</si>
  <si>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</si>
  <si>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</si>
  <si>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</si>
  <si>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</si>
  <si>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</si>
  <si>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</si>
  <si>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</si>
  <si>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</si>
  <si>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</si>
  <si>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</si>
  <si>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</si>
  <si>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</si>
  <si>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</si>
  <si>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</si>
  <si>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</si>
  <si>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</si>
  <si>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</si>
  <si>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</si>
  <si>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</si>
  <si>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</si>
  <si>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</si>
  <si>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</si>
  <si>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</si>
  <si>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</si>
  <si>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</si>
  <si>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</si>
  <si>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</si>
  <si>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</si>
  <si>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</si>
  <si>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</si>
  <si>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</si>
  <si>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</si>
  <si>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</si>
  <si>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</si>
  <si>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</si>
  <si>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</si>
  <si>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</si>
  <si>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</si>
  <si>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</si>
  <si>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</si>
  <si>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</si>
  <si>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</si>
  <si>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</si>
  <si>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</si>
  <si>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</si>
  <si>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</si>
  <si>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</si>
  <si>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</si>
  <si>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</si>
  <si>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</si>
  <si>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</si>
  <si>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</si>
  <si>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</si>
  <si>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</si>
  <si>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</si>
  <si>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</si>
  <si>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</si>
  <si>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</si>
  <si>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</si>
  <si>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</si>
  <si>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</si>
  <si>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</si>
  <si>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</si>
  <si>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</si>
  <si>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</si>
  <si>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</si>
  <si>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</si>
  <si>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</si>
  <si>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</si>
  <si>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</si>
  <si>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</si>
  <si>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</si>
  <si>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</si>
  <si>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</si>
  <si>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</si>
  <si>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</si>
  <si>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</si>
  <si>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</si>
  <si>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</si>
  <si>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</si>
  <si>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</si>
  <si>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</si>
  <si>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</si>
  <si>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</si>
  <si>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</si>
  <si>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</si>
  <si>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</si>
  <si>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</si>
  <si>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</si>
  <si>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</si>
  <si>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</si>
  <si>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</si>
  <si>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</si>
  <si>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</si>
  <si>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</si>
  <si>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</si>
  <si>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</si>
  <si>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</si>
  <si>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</si>
  <si>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</si>
  <si>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</si>
  <si>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</si>
  <si>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</si>
  <si>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</si>
  <si>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</si>
  <si>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</si>
  <si>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</si>
  <si>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</si>
  <si>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</si>
  <si>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</si>
  <si>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</si>
  <si>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</si>
  <si>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</si>
  <si>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</si>
  <si>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</si>
  <si>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</si>
  <si>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</si>
  <si>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</si>
  <si>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</si>
  <si>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</si>
  <si>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</si>
  <si>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</si>
  <si>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</si>
  <si>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</si>
  <si>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</si>
  <si>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</si>
  <si>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</si>
  <si>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</si>
  <si>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</si>
  <si>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</si>
  <si>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</si>
  <si>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</si>
  <si>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</si>
  <si>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</si>
  <si>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</si>
  <si>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</si>
  <si>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</si>
  <si>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</si>
  <si>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</si>
  <si>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</si>
  <si>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</si>
  <si>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</si>
  <si>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</si>
  <si>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</si>
  <si>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</si>
  <si>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</si>
  <si>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</si>
  <si>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</si>
  <si>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</si>
  <si>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</si>
  <si>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</si>
  <si>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</si>
  <si>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</si>
  <si>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</si>
  <si>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</si>
  <si>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</si>
  <si>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</si>
  <si>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</si>
  <si>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</si>
  <si>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</si>
  <si>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</si>
  <si>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</si>
  <si>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</si>
  <si>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</si>
  <si>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</si>
  <si>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</si>
  <si>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</si>
  <si>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</si>
  <si>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</si>
  <si>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</si>
  <si>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</si>
  <si>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</si>
  <si>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</si>
  <si>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</si>
  <si>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</si>
  <si>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</si>
  <si>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</si>
  <si>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</si>
  <si>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</si>
  <si>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</si>
  <si>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</si>
  <si>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</si>
  <si>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</si>
  <si>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</si>
  <si>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</si>
  <si>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</si>
  <si>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</si>
  <si>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</si>
  <si>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</si>
  <si>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</si>
  <si>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</si>
  <si>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</si>
  <si>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</si>
  <si>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</si>
  <si>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</si>
  <si>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</si>
  <si>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</si>
  <si>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</si>
  <si>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</si>
  <si>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</si>
  <si>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</si>
  <si>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</si>
  <si>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</si>
  <si>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</si>
  <si>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</si>
  <si>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</si>
  <si>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</si>
  <si>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</si>
  <si>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</si>
  <si>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</si>
  <si>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</si>
  <si>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</si>
  <si>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</si>
  <si>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</si>
  <si>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</si>
  <si>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</si>
  <si>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</si>
  <si>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</si>
  <si>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</si>
  <si>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</si>
  <si>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</si>
  <si>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</si>
  <si>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</si>
  <si>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</si>
  <si>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</si>
  <si>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</si>
  <si>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</si>
  <si>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</si>
  <si>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</si>
  <si>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</si>
  <si>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</si>
  <si>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</si>
  <si>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</si>
  <si>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</si>
  <si>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</si>
  <si>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</si>
  <si>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</si>
  <si>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</si>
  <si>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</si>
  <si>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</si>
  <si>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</si>
  <si>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</si>
  <si>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</si>
  <si>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</si>
  <si>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</si>
  <si>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</si>
  <si>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</si>
  <si>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</si>
  <si>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</si>
  <si>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</si>
  <si>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</si>
  <si>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</si>
  <si>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</si>
  <si>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</si>
  <si>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</si>
  <si>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</si>
  <si>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</si>
  <si>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</si>
  <si>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</si>
  <si>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</si>
  <si>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</si>
  <si>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</si>
  <si>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</si>
  <si>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</si>
  <si>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</si>
  <si>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</si>
  <si>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</si>
  <si>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</si>
  <si>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</si>
  <si>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</si>
  <si>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</si>
  <si>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</si>
  <si>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</si>
  <si>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</si>
  <si>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</si>
  <si>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</si>
  <si>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</si>
  <si>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</si>
  <si>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</si>
  <si>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</si>
  <si>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</si>
  <si>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</si>
  <si>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</si>
  <si>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</si>
  <si>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</si>
  <si>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</si>
  <si>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</si>
  <si>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</si>
  <si>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</si>
  <si>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</si>
  <si>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</si>
  <si>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</si>
  <si>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</si>
  <si>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</si>
  <si>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</si>
  <si>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</si>
  <si>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</si>
  <si>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</si>
  <si>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</si>
  <si>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</si>
  <si>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</si>
  <si>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</si>
  <si>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</si>
  <si>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</si>
  <si>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</si>
  <si>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</si>
  <si>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</si>
  <si>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</si>
  <si>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</si>
  <si>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</si>
  <si>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</si>
  <si>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</si>
  <si>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</si>
  <si>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</si>
  <si>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</si>
  <si>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</si>
  <si>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</si>
  <si>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</si>
  <si>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</si>
  <si>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</si>
  <si>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</si>
  <si>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</si>
  <si>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</si>
  <si>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</si>
  <si>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</si>
  <si>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</si>
  <si>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</si>
  <si>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</si>
  <si>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</si>
  <si>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</si>
  <si>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</si>
  <si>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</si>
  <si>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</si>
  <si>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</si>
  <si>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</si>
  <si>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</si>
  <si>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</si>
  <si>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</si>
  <si>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</si>
  <si>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</si>
  <si>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</si>
  <si>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</si>
  <si>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</si>
  <si>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</si>
  <si>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</si>
  <si>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</si>
  <si>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</si>
  <si>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</si>
  <si>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</si>
  <si>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</si>
  <si>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</si>
  <si>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</si>
  <si>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</si>
  <si>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</si>
  <si>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</si>
  <si>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</si>
  <si>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</si>
  <si>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</si>
  <si>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</si>
  <si>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</si>
  <si>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</si>
  <si>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</si>
  <si>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</si>
  <si>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</si>
  <si>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</si>
  <si>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</si>
  <si>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</si>
  <si>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</si>
  <si>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</si>
  <si>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</si>
  <si>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</si>
  <si>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</si>
  <si>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</si>
  <si>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</si>
  <si>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</si>
  <si>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</si>
  <si>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</si>
  <si>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</si>
  <si>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</si>
  <si>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</si>
  <si>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</si>
  <si>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</si>
  <si>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</si>
  <si>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</si>
  <si>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</si>
  <si>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</si>
  <si>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</si>
  <si>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</si>
  <si>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</si>
  <si>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</si>
  <si>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</si>
  <si>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</si>
  <si>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</si>
  <si>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</si>
  <si>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</si>
  <si>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</si>
  <si>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</si>
  <si>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</si>
  <si>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</si>
  <si>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</si>
  <si>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</si>
  <si>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</si>
  <si>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</si>
  <si>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</si>
  <si>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</si>
  <si>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</si>
  <si>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</si>
  <si>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</si>
  <si>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</si>
  <si>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</si>
  <si>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</si>
  <si>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</si>
  <si>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</si>
  <si>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</si>
  <si>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</si>
  <si>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</si>
  <si>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</si>
  <si>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</si>
  <si>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</si>
  <si>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</si>
  <si>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</si>
  <si>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</si>
  <si>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</si>
  <si>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</si>
  <si>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</si>
  <si>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</si>
  <si>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</si>
  <si>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</si>
  <si>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</si>
  <si>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</si>
  <si>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</si>
  <si>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</si>
  <si>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</si>
  <si>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</si>
  <si>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</si>
  <si>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</si>
  <si>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</si>
  <si>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</si>
  <si>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</si>
  <si>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</si>
  <si>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</si>
  <si>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</si>
  <si>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</si>
  <si>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</si>
  <si>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</si>
  <si>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</si>
  <si>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</si>
  <si>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</si>
  <si>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</si>
  <si>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</si>
  <si>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</si>
  <si>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</si>
  <si>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</si>
  <si>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</si>
  <si>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</si>
  <si>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</si>
  <si>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</si>
  <si>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</si>
  <si>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</si>
  <si>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</si>
  <si>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</si>
  <si>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</si>
  <si>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</si>
  <si>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</si>
  <si>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</si>
  <si>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</si>
  <si>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</si>
  <si>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</si>
  <si>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</si>
  <si>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</si>
  <si>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</si>
  <si>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</si>
  <si>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</si>
  <si>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</si>
  <si>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</si>
  <si>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</si>
  <si>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</si>
  <si>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</si>
  <si>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</si>
  <si>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</si>
  <si>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</si>
  <si>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</si>
  <si>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</si>
  <si>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</si>
  <si>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</si>
  <si>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</si>
  <si>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</si>
  <si>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</si>
  <si>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</si>
  <si>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</si>
  <si>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</si>
  <si>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</si>
  <si>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</si>
  <si>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</si>
  <si>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</si>
  <si>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</si>
  <si>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</si>
  <si>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</si>
  <si>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</si>
  <si>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</si>
  <si>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</si>
  <si>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</si>
  <si>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</si>
  <si>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</si>
  <si>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</si>
  <si>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</si>
  <si>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</si>
  <si>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</si>
  <si>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</si>
  <si>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</si>
  <si>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</si>
  <si>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</si>
  <si>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</si>
  <si>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</si>
  <si>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</si>
  <si>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</si>
  <si>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</si>
  <si>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</si>
  <si>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</si>
  <si>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</si>
  <si>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</si>
  <si>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</si>
  <si>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</si>
  <si>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</si>
  <si>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</si>
  <si>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</si>
  <si>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</si>
  <si>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</si>
  <si>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</si>
  <si>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</si>
  <si>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</si>
  <si>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</si>
  <si>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</si>
  <si>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</si>
  <si>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</si>
  <si>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</si>
  <si>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</si>
  <si>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</si>
  <si>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</si>
  <si>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</si>
  <si>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</si>
  <si>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</si>
  <si>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</si>
  <si>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</si>
  <si>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</si>
  <si>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</si>
  <si>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</si>
  <si>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</si>
  <si>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</si>
  <si>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</si>
  <si>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</si>
  <si>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</si>
  <si>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</si>
  <si>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</si>
  <si>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</si>
  <si>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</si>
  <si>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</si>
  <si>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</si>
  <si>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</si>
  <si>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</si>
  <si>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</si>
  <si>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</si>
  <si>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</si>
  <si>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</si>
  <si>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</si>
  <si>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</si>
  <si>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</si>
  <si>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</si>
  <si>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</si>
  <si>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</si>
  <si>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</si>
  <si>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</si>
  <si>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</si>
  <si>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</si>
  <si>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</si>
  <si>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</si>
  <si>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</si>
  <si>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</si>
  <si>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</si>
  <si>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</si>
  <si>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</si>
  <si>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</si>
  <si>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</si>
  <si>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</si>
  <si>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</si>
  <si>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</si>
  <si>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</si>
  <si>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</si>
  <si>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</si>
  <si>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</si>
  <si>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</si>
  <si>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</si>
  <si>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</si>
  <si>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</si>
  <si>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</si>
  <si>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</si>
  <si>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</si>
  <si>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</si>
  <si>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</si>
  <si>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</si>
  <si>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</si>
  <si>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</si>
  <si>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</si>
  <si>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</si>
  <si>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</si>
  <si>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</si>
  <si>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</si>
  <si>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</si>
  <si>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</si>
  <si>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</si>
  <si>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</si>
  <si>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</si>
  <si>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</si>
  <si>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</si>
  <si>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</si>
  <si>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</si>
  <si>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</si>
  <si>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</si>
  <si>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</si>
  <si>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</si>
  <si>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</si>
  <si>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</si>
  <si>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</si>
  <si>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</si>
  <si>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</si>
  <si>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</si>
  <si>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</si>
  <si>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</si>
  <si>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</si>
  <si>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</si>
  <si>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</si>
  <si>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</si>
  <si>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</si>
  <si>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</si>
  <si>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</si>
  <si>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</si>
  <si>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</si>
  <si>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</si>
  <si>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</si>
  <si>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</si>
  <si>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</si>
  <si>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</si>
  <si>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</si>
  <si>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</si>
  <si>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</si>
  <si>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</si>
  <si>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</si>
  <si>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</si>
  <si>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</si>
  <si>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</si>
  <si>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</si>
  <si>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</si>
  <si>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</si>
  <si>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</si>
  <si>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</si>
  <si>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</si>
  <si>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</si>
  <si>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</si>
  <si>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</si>
  <si>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</si>
  <si>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</si>
  <si>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</si>
  <si>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</si>
  <si>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</si>
  <si>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</si>
  <si>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</si>
  <si>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</si>
  <si>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</si>
  <si>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</si>
  <si>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</si>
  <si>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</si>
  <si>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</si>
  <si>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</si>
  <si>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</si>
  <si>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</si>
  <si>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</si>
  <si>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</si>
  <si>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</si>
  <si>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</si>
  <si>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</si>
  <si>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</si>
  <si>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</si>
  <si>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</si>
  <si>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</si>
  <si>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</si>
  <si>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</si>
  <si>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</si>
  <si>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</si>
  <si>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</si>
  <si>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</si>
  <si>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</si>
  <si>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</si>
  <si>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</si>
  <si>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</si>
  <si>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</si>
  <si>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</si>
  <si>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</si>
  <si>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</si>
  <si>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</si>
  <si>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</si>
  <si>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</si>
  <si>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</si>
  <si>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</si>
  <si>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</si>
  <si>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</si>
  <si>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</si>
  <si>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</si>
  <si>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</si>
  <si>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</si>
  <si>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</si>
  <si>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</si>
  <si>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</si>
  <si>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</si>
  <si>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</si>
  <si>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</si>
  <si>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</si>
  <si>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</si>
  <si>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</si>
  <si>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</si>
  <si>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</si>
  <si>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</si>
  <si>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</si>
  <si>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</si>
  <si>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</si>
  <si>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</si>
  <si>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</si>
  <si>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</si>
  <si>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</si>
  <si>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</si>
  <si>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</si>
  <si>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</si>
  <si>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</si>
  <si>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</si>
  <si>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</si>
  <si>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</si>
  <si>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</si>
  <si>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</si>
  <si>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</si>
  <si>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</si>
  <si>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</si>
  <si>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</si>
  <si>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</si>
  <si>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</si>
  <si>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</si>
  <si>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</si>
  <si>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</si>
  <si>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</si>
  <si>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</si>
  <si>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</si>
  <si>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</si>
  <si>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</si>
  <si>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</si>
  <si>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</si>
  <si>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</si>
  <si>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</si>
  <si>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</si>
  <si>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</si>
  <si>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</si>
  <si>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</si>
  <si>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</si>
  <si>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</si>
  <si>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</si>
  <si>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</si>
  <si>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</si>
  <si>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</si>
  <si>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</si>
  <si>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</si>
  <si>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</si>
  <si>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</si>
  <si>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</si>
  <si>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</si>
  <si>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</si>
  <si>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</si>
  <si>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</si>
  <si>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</si>
  <si>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</si>
  <si>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</si>
  <si>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</si>
  <si>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</si>
  <si>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</si>
  <si>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</si>
  <si>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</si>
  <si>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</si>
  <si>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</si>
  <si>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</si>
  <si>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</si>
  <si>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</si>
  <si>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</si>
  <si>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</si>
  <si>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</si>
  <si>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</si>
  <si>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</si>
  <si>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</si>
  <si>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</si>
  <si>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</si>
  <si>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</si>
  <si>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</si>
  <si>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</si>
  <si>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</si>
  <si>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</si>
  <si>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</si>
  <si>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</si>
  <si>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</si>
  <si>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</si>
  <si>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</si>
  <si>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</si>
  <si>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</si>
  <si>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</si>
  <si>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</si>
  <si>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</si>
  <si>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</si>
  <si>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</si>
  <si>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</si>
  <si>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</si>
  <si>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</si>
  <si>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</si>
  <si>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</si>
  <si>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</si>
  <si>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</si>
  <si>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</si>
  <si>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</si>
  <si>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</si>
  <si>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</si>
  <si>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</si>
  <si>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</si>
  <si>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</si>
  <si>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</si>
  <si>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</si>
  <si>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</si>
  <si>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</si>
  <si>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</si>
  <si>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</si>
  <si>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</si>
  <si>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</si>
  <si>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</si>
  <si>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</si>
  <si>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</si>
  <si>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</si>
  <si>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</si>
  <si>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</si>
  <si>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</si>
  <si>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</si>
  <si>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</si>
  <si>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</si>
  <si>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</si>
  <si>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</si>
  <si>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</si>
  <si>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</si>
  <si>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</si>
  <si>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</si>
  <si>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</si>
  <si>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</si>
  <si>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</si>
  <si>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</si>
  <si>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</si>
  <si>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</si>
  <si>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</si>
  <si>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</si>
  <si>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</si>
  <si>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</si>
  <si>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</si>
  <si>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</si>
  <si>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</si>
  <si>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</si>
  <si>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</si>
  <si>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</si>
  <si>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</si>
  <si>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</si>
  <si>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</si>
  <si>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</si>
  <si>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</si>
  <si>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</si>
  <si>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</si>
  <si>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</si>
  <si>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</si>
  <si>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</si>
  <si>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</si>
  <si>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</si>
  <si>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</si>
  <si>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</si>
  <si>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</si>
  <si>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</si>
  <si>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</si>
  <si>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</si>
  <si>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</si>
  <si>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</si>
  <si>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</si>
  <si>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</si>
  <si>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</si>
  <si>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</si>
  <si>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</si>
  <si>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</si>
  <si>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</si>
  <si>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</si>
  <si>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</si>
  <si>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</si>
  <si>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</si>
  <si>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</si>
  <si>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</si>
  <si>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</si>
  <si>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</si>
  <si>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</si>
  <si>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</si>
  <si>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</si>
  <si>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</si>
  <si>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</si>
  <si>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</si>
  <si>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</si>
  <si>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</si>
  <si>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</si>
  <si>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</si>
  <si>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</si>
  <si>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</si>
  <si>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</si>
  <si>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</si>
  <si>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</si>
  <si>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</si>
  <si>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</si>
  <si>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</si>
  <si>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</si>
  <si>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</si>
  <si>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</si>
  <si>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</si>
  <si>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</si>
  <si>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</si>
  <si>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</si>
  <si>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</si>
  <si>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</si>
  <si>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</si>
  <si>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</si>
  <si>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</si>
  <si>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</si>
  <si>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</si>
  <si>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</si>
  <si>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</si>
  <si>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</si>
  <si>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</si>
  <si>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</si>
  <si>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</si>
  <si>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</si>
  <si>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</si>
  <si>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</si>
  <si>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</si>
  <si>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</si>
  <si>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</si>
  <si>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</si>
  <si>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</si>
  <si>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</si>
  <si>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</si>
  <si>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</si>
  <si>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</si>
  <si>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</si>
  <si>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</si>
  <si>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</si>
  <si>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</si>
  <si>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</si>
  <si>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</si>
  <si>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</si>
  <si>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</si>
  <si>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</si>
  <si>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</si>
  <si>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</si>
  <si>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</si>
  <si>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</si>
  <si>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</si>
  <si>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</si>
  <si>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</si>
  <si>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</si>
  <si>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</si>
  <si>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</si>
  <si>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</si>
  <si>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</si>
  <si>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</si>
  <si>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</si>
  <si>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</si>
  <si>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</si>
  <si>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</si>
  <si>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</si>
  <si>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</si>
  <si>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</si>
  <si>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</si>
  <si>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</si>
  <si>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</si>
  <si>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</si>
  <si>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</si>
  <si>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</si>
  <si>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</si>
  <si>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</si>
  <si>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</si>
  <si>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</si>
  <si>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</si>
  <si>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</si>
  <si>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</si>
  <si>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</si>
  <si>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</si>
  <si>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</si>
  <si>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</si>
  <si>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</si>
  <si>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</si>
  <si>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</si>
  <si>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</si>
  <si>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</si>
  <si>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</si>
  <si>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</si>
  <si>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</si>
  <si>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</si>
  <si>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</si>
  <si>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</si>
  <si>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</si>
  <si>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</si>
  <si>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</si>
  <si>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</si>
  <si>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</si>
  <si>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</si>
  <si>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</si>
  <si>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</si>
  <si>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</si>
  <si>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</si>
  <si>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</si>
  <si>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</si>
  <si>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</si>
  <si>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</si>
  <si>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</si>
  <si>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</si>
  <si>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</si>
  <si>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</si>
  <si>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</si>
  <si>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</si>
  <si>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</si>
  <si>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</si>
  <si>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</si>
  <si>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</si>
  <si>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</si>
  <si>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</si>
  <si>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</si>
  <si>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</si>
  <si>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</si>
  <si>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</si>
  <si>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</si>
  <si>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</si>
  <si>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</si>
  <si>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</si>
  <si>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</si>
  <si>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</si>
  <si>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</si>
  <si>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</si>
  <si>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</si>
  <si>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</si>
  <si>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</si>
  <si>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</si>
  <si>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</si>
  <si>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</si>
  <si>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</si>
  <si>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</si>
  <si>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</si>
  <si>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</si>
  <si>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</si>
  <si>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</si>
  <si>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</si>
  <si>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</si>
  <si>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</si>
  <si>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</si>
  <si>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</si>
  <si>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</si>
  <si>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</si>
  <si>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</si>
  <si>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</si>
  <si>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</si>
  <si>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</si>
  <si>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</si>
  <si>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</si>
  <si>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</si>
  <si>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</si>
  <si>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</si>
  <si>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</si>
  <si>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</si>
  <si>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</si>
  <si>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</si>
  <si>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</si>
  <si>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</si>
  <si>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</si>
  <si>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</si>
  <si>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</si>
  <si>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</si>
  <si>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</si>
  <si>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</si>
  <si>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</si>
  <si>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</si>
  <si>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</si>
  <si>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</si>
  <si>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</si>
  <si>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</si>
  <si>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</si>
  <si>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</si>
  <si>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</si>
  <si>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</si>
  <si>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</si>
  <si>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</si>
  <si>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</si>
  <si>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</si>
  <si>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</si>
  <si>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</si>
  <si>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</si>
  <si>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</si>
  <si>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</si>
  <si>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</si>
  <si>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</si>
  <si>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</si>
  <si>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</si>
  <si>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</si>
  <si>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</si>
  <si>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</si>
  <si>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</si>
  <si>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</si>
  <si>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</si>
  <si>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</si>
  <si>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</si>
  <si>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</si>
  <si>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</si>
  <si>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</si>
  <si>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</si>
  <si>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</si>
  <si>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</si>
  <si>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</si>
  <si>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</si>
  <si>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</si>
  <si>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</si>
  <si>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</si>
  <si>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</si>
  <si>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</si>
  <si>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</si>
  <si>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</si>
  <si>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</si>
  <si>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</si>
  <si>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</si>
  <si>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</si>
  <si>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</si>
  <si>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</si>
  <si>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</si>
  <si>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</si>
  <si>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</si>
  <si>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</si>
  <si>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</si>
  <si>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</si>
  <si>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</si>
  <si>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</si>
  <si>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</si>
  <si>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</si>
  <si>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</si>
  <si>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</si>
  <si>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</si>
  <si>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</si>
  <si>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</si>
  <si>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</si>
  <si>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</si>
  <si>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</si>
  <si>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</si>
  <si>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</si>
  <si>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</si>
  <si>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</si>
  <si>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</si>
  <si>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</si>
  <si>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</si>
  <si>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</si>
  <si>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</si>
  <si>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</si>
  <si>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</si>
  <si>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</si>
  <si>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</si>
  <si>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</si>
  <si>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</si>
  <si>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</si>
  <si>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</si>
  <si>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</si>
  <si>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</si>
  <si>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</si>
  <si>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</si>
  <si>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</si>
  <si>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</si>
  <si>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</si>
  <si>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</si>
  <si>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</si>
  <si>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</si>
  <si>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</si>
  <si>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</si>
  <si>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</si>
  <si>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</si>
  <si>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</si>
  <si>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</si>
  <si>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</si>
  <si>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</si>
  <si>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</si>
  <si>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</si>
  <si>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</si>
  <si>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</si>
  <si>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</si>
  <si>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</si>
  <si>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</si>
  <si>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</si>
  <si>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</si>
  <si>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</si>
  <si>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</si>
  <si>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</si>
  <si>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</si>
  <si>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</si>
  <si>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</si>
  <si>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</si>
  <si>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</si>
  <si>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</si>
  <si>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</si>
  <si>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</si>
  <si>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</si>
  <si>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</si>
  <si>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</si>
  <si>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</si>
  <si>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</si>
  <si>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</si>
  <si>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</si>
  <si>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</si>
  <si>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</si>
  <si>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</si>
  <si>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</si>
  <si>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</si>
  <si>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</si>
  <si>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</si>
  <si>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</si>
  <si>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</si>
  <si>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</si>
  <si>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</si>
  <si>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</si>
  <si>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</si>
  <si>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</si>
  <si>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</si>
  <si>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</si>
  <si>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</si>
  <si>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</si>
  <si>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</si>
  <si>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</si>
  <si>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</si>
  <si>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</si>
  <si>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</si>
  <si>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</si>
  <si>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</si>
  <si>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</si>
  <si>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</si>
  <si>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</si>
  <si>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</si>
  <si>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</si>
  <si>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</si>
  <si>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</si>
  <si>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</si>
  <si>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</si>
  <si>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</si>
  <si>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</si>
  <si>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</si>
  <si>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</si>
  <si>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</si>
  <si>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</si>
  <si>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</si>
  <si>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</si>
  <si>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</si>
  <si>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</si>
  <si>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</si>
  <si>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</si>
  <si>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</si>
  <si>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</si>
  <si>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</si>
  <si>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</si>
  <si>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</si>
  <si>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</si>
  <si>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</si>
  <si>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</si>
  <si>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</si>
  <si>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</si>
  <si>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</si>
  <si>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</si>
  <si>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</si>
  <si>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</si>
  <si>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</si>
  <si>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</si>
  <si>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</si>
  <si>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</si>
  <si>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</si>
  <si>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</si>
  <si>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</si>
  <si>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</si>
  <si>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</si>
  <si>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</si>
  <si>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</si>
  <si>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</si>
  <si>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</si>
  <si>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</si>
  <si>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</si>
  <si>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</si>
  <si>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</si>
  <si>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</si>
  <si>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</si>
  <si>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</si>
  <si>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</si>
  <si>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</si>
  <si>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</si>
  <si>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</si>
  <si>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</si>
  <si>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</si>
  <si>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</si>
  <si>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</si>
  <si>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</si>
  <si>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</si>
  <si>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</si>
  <si>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</si>
  <si>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</si>
  <si>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</si>
  <si>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</si>
  <si>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</si>
  <si>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</si>
  <si>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</si>
  <si>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</si>
  <si>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</si>
  <si>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</si>
  <si>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</si>
  <si>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</si>
  <si>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</si>
  <si>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</si>
  <si>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</si>
  <si>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</si>
  <si>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</si>
  <si>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</si>
  <si>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</si>
  <si>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</si>
  <si>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</si>
  <si>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</si>
  <si>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</si>
  <si>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</si>
  <si>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</si>
  <si>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</si>
  <si>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</si>
  <si>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</si>
  <si>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</si>
  <si>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</si>
  <si>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</si>
  <si>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</si>
  <si>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</si>
  <si>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</si>
  <si>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</si>
  <si>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</si>
  <si>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</si>
  <si>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</si>
  <si>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</si>
  <si>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</si>
  <si>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</si>
  <si>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</si>
  <si>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</si>
  <si>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</si>
  <si>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</si>
  <si>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</si>
  <si>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</si>
  <si>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</si>
  <si>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</si>
  <si>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</si>
  <si>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</si>
  <si>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</si>
  <si>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</si>
  <si>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</si>
  <si>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</si>
  <si>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</si>
  <si>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</si>
  <si>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</si>
  <si>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</si>
  <si>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</si>
  <si>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</si>
  <si>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</si>
  <si>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</si>
  <si>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</si>
  <si>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</si>
  <si>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</si>
  <si>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</si>
  <si>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</si>
  <si>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</si>
  <si>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</si>
  <si>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</si>
  <si>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</si>
  <si>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</si>
  <si>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</si>
  <si>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</si>
  <si>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</si>
  <si>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</si>
  <si>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</si>
  <si>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</si>
  <si>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</si>
  <si>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</si>
  <si>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</si>
  <si>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</si>
  <si>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</si>
  <si>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</si>
  <si>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</si>
  <si>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</si>
  <si>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</si>
  <si>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</si>
  <si>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</si>
  <si>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</si>
  <si>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</si>
  <si>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</si>
  <si>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</si>
  <si>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</si>
  <si>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</si>
  <si>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</si>
  <si>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</si>
  <si>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</si>
  <si>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</si>
  <si>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</si>
  <si>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</si>
  <si>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</si>
  <si>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</si>
  <si>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</si>
  <si>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</si>
  <si>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</si>
  <si>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</si>
  <si>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</si>
  <si>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</si>
  <si>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</si>
  <si>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</si>
  <si>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</si>
  <si>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</si>
  <si>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</si>
  <si>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</si>
  <si>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</si>
  <si>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</si>
  <si>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</si>
  <si>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</si>
  <si>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</si>
  <si>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</si>
  <si>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</si>
  <si>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</si>
  <si>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</si>
  <si>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</si>
  <si>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</si>
  <si>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</si>
  <si>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</si>
  <si>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</si>
  <si>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</si>
  <si>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</si>
  <si>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</si>
  <si>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</si>
  <si>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</si>
  <si>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</si>
  <si>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</si>
  <si>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</si>
  <si>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</si>
  <si>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</si>
  <si>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</si>
  <si>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</si>
  <si>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</si>
  <si>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</si>
  <si>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</si>
  <si>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</si>
  <si>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</si>
  <si>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</si>
  <si>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</si>
  <si>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</si>
  <si>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</si>
  <si>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</si>
  <si>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</si>
  <si>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</si>
  <si>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</si>
  <si>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</si>
  <si>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</si>
  <si>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</si>
  <si>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</si>
  <si>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</si>
  <si>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</si>
  <si>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</si>
  <si>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</si>
  <si>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</si>
  <si>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</si>
  <si>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</si>
  <si>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</si>
  <si>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</si>
  <si>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</si>
  <si>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</si>
  <si>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</si>
  <si>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</si>
  <si>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</si>
  <si>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</si>
  <si>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</si>
  <si>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</si>
  <si>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</si>
  <si>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</si>
  <si>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</si>
  <si>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</si>
  <si>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</si>
  <si>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</si>
  <si>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</si>
  <si>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</si>
  <si>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</si>
  <si>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</si>
  <si>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</si>
  <si>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</si>
  <si>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</si>
  <si>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</si>
  <si>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</si>
  <si>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</si>
  <si>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</si>
  <si>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</si>
  <si>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</si>
  <si>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</si>
  <si>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</si>
  <si>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</si>
  <si>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</si>
  <si>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</si>
  <si>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</si>
  <si>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</si>
  <si>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</si>
  <si>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</si>
  <si>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</si>
  <si>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</si>
  <si>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</si>
  <si>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</si>
  <si>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</si>
  <si>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</si>
  <si>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</si>
  <si>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</si>
  <si>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</si>
  <si>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</si>
  <si>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</si>
  <si>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</si>
  <si>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</si>
  <si>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</si>
  <si>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</si>
  <si>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</si>
  <si>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</si>
  <si>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</si>
  <si>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</si>
  <si>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</si>
  <si>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</si>
  <si>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</si>
  <si>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</si>
  <si>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</si>
  <si>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</si>
  <si>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</si>
  <si>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</si>
  <si>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</si>
  <si>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</si>
  <si>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</si>
  <si>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</si>
  <si>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</si>
  <si>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</si>
  <si>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</si>
  <si>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</si>
  <si>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</si>
  <si>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</si>
  <si>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</si>
  <si>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</si>
  <si>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</si>
  <si>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</si>
  <si>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</si>
  <si>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</si>
  <si>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</si>
  <si>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</si>
  <si>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</si>
  <si>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</si>
  <si>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</si>
  <si>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</si>
  <si>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</si>
  <si>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</si>
  <si>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</si>
  <si>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</si>
  <si>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</si>
  <si>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</si>
  <si>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</si>
  <si>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</si>
  <si>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</si>
  <si>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</si>
  <si>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</si>
  <si>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</si>
  <si>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</si>
  <si>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</si>
  <si>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</si>
  <si>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</si>
  <si>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</si>
  <si>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</si>
  <si>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</si>
  <si>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</si>
  <si>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</si>
  <si>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</si>
  <si>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</si>
  <si>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</si>
  <si>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</si>
  <si>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</si>
  <si>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</si>
  <si>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</si>
  <si>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</si>
  <si>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</si>
  <si>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</si>
  <si>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</si>
  <si>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</si>
  <si>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</si>
  <si>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</si>
  <si>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</si>
  <si>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</si>
  <si>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</si>
  <si>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</si>
  <si>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</si>
  <si>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</si>
  <si>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</si>
  <si>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</si>
  <si>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</si>
  <si>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</si>
  <si>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</si>
  <si>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</si>
  <si>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</si>
  <si>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</si>
  <si>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</si>
  <si>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</si>
  <si>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</si>
  <si>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</si>
  <si>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</si>
  <si>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</si>
  <si>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</si>
  <si>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</si>
  <si>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</si>
  <si>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</si>
  <si>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</si>
  <si>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</si>
  <si>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</si>
  <si>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</si>
  <si>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</si>
  <si>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</si>
  <si>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</si>
  <si>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</si>
  <si>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</si>
  <si>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</si>
  <si>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</si>
  <si>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</si>
  <si>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</si>
  <si>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</si>
  <si>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</si>
  <si>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</si>
  <si>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</si>
  <si>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</si>
  <si>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</si>
  <si>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</si>
  <si>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</si>
  <si>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</si>
  <si>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</si>
  <si>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</si>
  <si>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</si>
  <si>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</si>
  <si>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</si>
  <si>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</si>
  <si>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</si>
  <si>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</si>
  <si>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</si>
  <si>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</si>
  <si>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</si>
  <si>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</si>
  <si>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</si>
  <si>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</si>
  <si>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</si>
  <si>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</si>
  <si>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</si>
  <si>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</si>
  <si>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</si>
  <si>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</si>
  <si>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</si>
  <si>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</si>
  <si>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</si>
  <si>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</si>
  <si>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</si>
  <si>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</si>
  <si>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</si>
  <si>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</si>
  <si>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</si>
  <si>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</si>
  <si>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</si>
  <si>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</si>
  <si>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</si>
  <si>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</si>
  <si>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</si>
  <si>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</si>
  <si>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</si>
  <si>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</si>
  <si>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</si>
  <si>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</si>
  <si>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</si>
  <si>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</si>
  <si>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</si>
  <si>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</si>
  <si>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</si>
  <si>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</si>
  <si>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</si>
  <si>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</si>
  <si>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</si>
  <si>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</si>
  <si>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</si>
  <si>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</si>
  <si>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</si>
  <si>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</si>
  <si>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</si>
  <si>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</si>
  <si>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</si>
  <si>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</si>
  <si>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</si>
  <si>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</si>
  <si>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</si>
  <si>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</si>
  <si>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</si>
  <si>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</si>
  <si>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</si>
  <si>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</si>
  <si>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</si>
  <si>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</si>
  <si>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</si>
  <si>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</si>
  <si>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</si>
  <si>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</si>
  <si>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</si>
  <si>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</si>
  <si>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</si>
  <si>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</si>
  <si>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</si>
  <si>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</si>
  <si>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</si>
  <si>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</si>
  <si>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</si>
  <si>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</si>
  <si>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</si>
  <si>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</si>
  <si>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</si>
  <si>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</si>
  <si>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</si>
  <si>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</si>
  <si>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</si>
  <si>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</si>
  <si>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</si>
  <si>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</si>
  <si>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</si>
  <si>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</si>
  <si>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</si>
  <si>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</si>
  <si>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</si>
  <si>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</si>
  <si>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</si>
  <si>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</si>
  <si>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</si>
  <si>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</si>
  <si>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</si>
  <si>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</si>
  <si>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</si>
  <si>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</si>
  <si>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</si>
  <si>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</si>
  <si>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</si>
  <si>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</si>
  <si>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</si>
  <si>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</si>
  <si>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</si>
  <si>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</si>
  <si>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</si>
  <si>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</si>
  <si>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</si>
  <si>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</si>
  <si>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</si>
  <si>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</si>
  <si>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</si>
  <si>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</si>
  <si>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</si>
  <si>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</si>
  <si>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</si>
  <si>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</si>
  <si>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</si>
  <si>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</si>
  <si>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</si>
  <si>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</si>
  <si>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</si>
  <si>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</si>
  <si>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</si>
  <si>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</si>
  <si>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</si>
  <si>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</si>
  <si>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</si>
  <si>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</si>
  <si>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</si>
  <si>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</si>
  <si>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</si>
  <si>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</si>
  <si>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</si>
  <si>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</si>
  <si>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</si>
  <si>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</si>
  <si>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</si>
  <si>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</si>
  <si>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</si>
  <si>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</si>
  <si>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</si>
  <si>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</si>
  <si>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</si>
  <si>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</si>
  <si>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</si>
  <si>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</si>
  <si>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</si>
  <si>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</si>
  <si>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</si>
  <si>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</si>
  <si>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</si>
  <si>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</si>
  <si>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</si>
  <si>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</si>
  <si>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</si>
  <si>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</si>
  <si>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</si>
  <si>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</si>
  <si>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</si>
  <si>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</si>
  <si>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</si>
  <si>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</si>
  <si>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</si>
  <si>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</si>
  <si>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</si>
  <si>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</si>
  <si>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</si>
  <si>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</si>
  <si>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</si>
  <si>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</si>
  <si>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</si>
  <si>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</si>
  <si>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</si>
  <si>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</si>
  <si>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</si>
  <si>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</si>
  <si>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</si>
  <si>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</si>
  <si>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</si>
  <si>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</si>
  <si>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</si>
  <si>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</si>
  <si>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</si>
  <si>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</si>
  <si>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</si>
  <si>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</si>
  <si>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</si>
  <si>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</si>
  <si>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</si>
  <si>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</si>
  <si>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</si>
  <si>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</si>
  <si>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</si>
  <si>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</si>
  <si>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</si>
  <si>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</si>
  <si>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</si>
  <si>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</si>
  <si>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</si>
  <si>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</si>
  <si>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</si>
  <si>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</si>
  <si>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</si>
  <si>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</si>
  <si>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</si>
  <si>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</si>
  <si>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</si>
  <si>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</si>
  <si>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</si>
  <si>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</si>
  <si>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</si>
  <si>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</si>
  <si>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</si>
  <si>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</si>
  <si>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</si>
  <si>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</si>
  <si>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</si>
  <si>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</si>
  <si>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</si>
  <si>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</si>
  <si>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</si>
  <si>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</si>
  <si>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</si>
  <si>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</si>
  <si>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</si>
  <si>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</si>
  <si>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</si>
  <si>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</si>
  <si>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</si>
  <si>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</si>
  <si>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</si>
  <si>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</si>
  <si>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</si>
  <si>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</si>
  <si>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</si>
  <si>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</si>
  <si>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</si>
  <si>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</si>
  <si>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</si>
  <si>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</si>
  <si>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</si>
  <si>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</si>
  <si>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</si>
  <si>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</si>
  <si>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</si>
  <si>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</si>
  <si>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</si>
  <si>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</si>
  <si>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</si>
  <si>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</si>
  <si>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</si>
  <si>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</si>
  <si>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</si>
  <si>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</si>
  <si>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</si>
  <si>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</si>
  <si>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</si>
  <si>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</si>
  <si>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</si>
  <si>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</si>
  <si>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</si>
  <si>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</si>
  <si>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</si>
  <si>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</si>
  <si>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</si>
  <si>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</si>
  <si>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</si>
  <si>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</si>
  <si>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</si>
  <si>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</si>
  <si>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</si>
  <si>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</si>
  <si>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</si>
  <si>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</si>
  <si>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</si>
  <si>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</si>
  <si>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</si>
  <si>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</si>
  <si>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</si>
  <si>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</si>
  <si>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</si>
  <si>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</si>
  <si>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</si>
  <si>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</si>
  <si>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</si>
  <si>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</si>
  <si>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</si>
  <si>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</si>
  <si>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</si>
  <si>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</si>
  <si>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</si>
  <si>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</si>
  <si>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</si>
  <si>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</si>
  <si>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</si>
  <si>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</si>
  <si>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</si>
  <si>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</si>
  <si>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</si>
  <si>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</si>
  <si>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</si>
  <si>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</si>
  <si>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</si>
  <si>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</si>
  <si>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</si>
  <si>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</si>
  <si>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</si>
  <si>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</si>
  <si>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</si>
  <si>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</si>
  <si>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</si>
  <si>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</si>
  <si>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</si>
  <si>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</si>
  <si>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</si>
  <si>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</si>
  <si>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</si>
  <si>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</si>
  <si>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</si>
  <si>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</si>
  <si>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</si>
  <si>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</si>
  <si>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</si>
  <si>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</si>
  <si>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</si>
  <si>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</si>
  <si>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</si>
  <si>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</si>
  <si>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</si>
  <si>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</si>
  <si>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</si>
  <si>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</si>
  <si>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</si>
  <si>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</si>
  <si>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</si>
  <si>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</si>
  <si>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</si>
  <si>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</si>
  <si>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</si>
  <si>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</si>
  <si>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</si>
  <si>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</si>
  <si>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</si>
  <si>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</si>
  <si>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</si>
  <si>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</si>
  <si>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</si>
  <si>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</si>
  <si>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</si>
  <si>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</si>
  <si>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</si>
  <si>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</si>
  <si>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</si>
  <si>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</si>
  <si>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</si>
  <si>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</si>
  <si>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</si>
  <si>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</si>
  <si>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</si>
  <si>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</si>
  <si>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</si>
  <si>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</si>
  <si>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</si>
  <si>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</si>
  <si>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</si>
  <si>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</si>
  <si>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</si>
  <si>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</si>
  <si>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</si>
  <si>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</si>
  <si>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</si>
  <si>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</si>
  <si>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</si>
  <si>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</si>
  <si>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</si>
  <si>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</si>
  <si>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</si>
  <si>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</si>
  <si>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</si>
  <si>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</si>
  <si>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</si>
  <si>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</si>
  <si>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</si>
  <si>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</si>
  <si>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</si>
  <si>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</si>
  <si>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</si>
  <si>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</si>
  <si>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</si>
  <si>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</si>
  <si>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</si>
  <si>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</si>
  <si>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</si>
  <si>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</si>
  <si>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</si>
  <si>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</si>
  <si>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</si>
  <si>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</si>
  <si>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</si>
  <si>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</si>
  <si>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</si>
  <si>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</si>
  <si>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</si>
  <si>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</si>
  <si>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</si>
  <si>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</si>
  <si>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</si>
  <si>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</si>
  <si>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</si>
  <si>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</si>
  <si>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</si>
  <si>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</si>
  <si>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</si>
  <si>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</si>
  <si>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</si>
  <si>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</si>
  <si>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</si>
  <si>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</si>
  <si>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</si>
  <si>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</si>
  <si>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</si>
  <si>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</si>
  <si>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</si>
  <si>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</si>
  <si>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</si>
  <si>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</si>
  <si>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</si>
  <si>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</si>
  <si>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</si>
  <si>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</si>
  <si>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</si>
  <si>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</si>
  <si>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</si>
  <si>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</si>
  <si>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</si>
  <si>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</si>
  <si>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</si>
  <si>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</si>
  <si>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</si>
  <si>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</si>
  <si>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</si>
  <si>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</si>
  <si>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</si>
  <si>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</si>
  <si>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</si>
  <si>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</si>
  <si>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</si>
  <si>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</si>
  <si>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</si>
  <si>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</si>
  <si>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</si>
  <si>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</si>
  <si>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</si>
  <si>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</si>
  <si>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</si>
  <si>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</si>
  <si>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</si>
  <si>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</si>
  <si>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</si>
  <si>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</si>
  <si>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</si>
  <si>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</si>
  <si>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</si>
  <si>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</si>
  <si>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</si>
  <si>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</si>
  <si>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</si>
  <si>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</si>
  <si>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</si>
  <si>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</si>
  <si>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</si>
  <si>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</si>
  <si>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</si>
  <si>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</si>
  <si>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</si>
  <si>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</si>
  <si>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</si>
  <si>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</si>
  <si>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</si>
  <si>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</si>
  <si>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</si>
  <si>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</si>
  <si>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</si>
  <si>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</si>
  <si>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</si>
  <si>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</si>
  <si>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</si>
  <si>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</si>
  <si>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</si>
  <si>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</si>
  <si>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</si>
  <si>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</si>
  <si>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</si>
  <si>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</si>
  <si>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</si>
  <si>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</si>
  <si>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</si>
  <si>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</si>
  <si>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</si>
  <si>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</si>
  <si>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</si>
  <si>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</si>
  <si>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</si>
  <si>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</si>
  <si>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</si>
  <si>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</si>
  <si>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</si>
  <si>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</si>
  <si>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</si>
  <si>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</si>
  <si>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</si>
  <si>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</si>
  <si>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</si>
  <si>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</si>
  <si>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</si>
  <si>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</si>
  <si>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</si>
  <si>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</si>
  <si>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</si>
  <si>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</si>
  <si>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</si>
  <si>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</si>
  <si>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</si>
  <si>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</si>
  <si>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</si>
  <si>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</si>
  <si>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</si>
  <si>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</si>
  <si>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</si>
  <si>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</si>
  <si>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</si>
  <si>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</si>
  <si>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</si>
  <si>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</si>
  <si>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</si>
  <si>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</si>
  <si>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</si>
  <si>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</si>
  <si>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</si>
  <si>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</si>
  <si>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</si>
  <si>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</si>
  <si>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</si>
  <si>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</si>
  <si>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</si>
  <si>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</si>
  <si>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</si>
  <si>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</si>
  <si>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</si>
  <si>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</si>
  <si>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</si>
  <si>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</si>
  <si>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</si>
  <si>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</si>
  <si>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</si>
  <si>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</si>
  <si>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</si>
  <si>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</si>
  <si>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</si>
  <si>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</si>
  <si>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</si>
  <si>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</si>
  <si>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</si>
  <si>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</si>
  <si>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</si>
  <si>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</si>
  <si>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</si>
  <si>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</si>
  <si>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</si>
  <si>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</si>
  <si>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</si>
  <si>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</si>
  <si>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</si>
  <si>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</si>
  <si>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</si>
  <si>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</si>
  <si>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</si>
  <si>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</si>
  <si>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</si>
  <si>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</si>
  <si>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</si>
  <si>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</si>
  <si>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</si>
  <si>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</si>
  <si>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</si>
  <si>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</si>
  <si>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</si>
  <si>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</si>
  <si>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</si>
  <si>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</si>
  <si>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</si>
  <si>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</si>
  <si>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</si>
  <si>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</si>
  <si>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</si>
  <si>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</si>
  <si>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</si>
  <si>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</si>
  <si>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</si>
  <si>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</si>
  <si>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</si>
  <si>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</si>
  <si>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</si>
  <si>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</si>
  <si>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</si>
  <si>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</si>
  <si>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</si>
  <si>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</si>
  <si>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</si>
  <si>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</si>
  <si>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</si>
  <si>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</si>
  <si>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</si>
  <si>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</si>
  <si>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</si>
  <si>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</si>
  <si>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</si>
  <si>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</si>
  <si>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</si>
  <si>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</si>
  <si>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</si>
  <si>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</si>
  <si>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</si>
  <si>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</si>
  <si>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</si>
  <si>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</si>
  <si>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</si>
  <si>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</si>
  <si>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</si>
  <si>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</si>
  <si>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</si>
  <si>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</si>
  <si>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</si>
  <si>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</si>
  <si>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</si>
  <si>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</si>
  <si>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</si>
  <si>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</si>
  <si>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</si>
  <si>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</si>
  <si>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</si>
  <si>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</si>
  <si>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</si>
  <si>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</si>
  <si>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</si>
  <si>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</si>
  <si>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</si>
  <si>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</si>
  <si>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</si>
  <si>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</si>
  <si>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</si>
  <si>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</si>
  <si>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</si>
  <si>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</si>
  <si>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</si>
  <si>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</si>
  <si>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</si>
  <si>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</si>
  <si>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</si>
  <si>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</si>
  <si>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</si>
  <si>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</si>
  <si>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</si>
  <si>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</si>
  <si>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</si>
  <si>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</si>
  <si>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</si>
  <si>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</si>
  <si>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</si>
  <si>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</si>
  <si>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</si>
  <si>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</si>
  <si>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</si>
  <si>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</si>
  <si>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</si>
  <si>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</si>
  <si>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</si>
  <si>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</si>
  <si>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</si>
  <si>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</si>
  <si>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</si>
  <si>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</si>
  <si>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</si>
  <si>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</si>
  <si>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</si>
  <si>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</si>
  <si>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</si>
  <si>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</si>
  <si>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</si>
  <si>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</si>
  <si>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</si>
  <si>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</si>
  <si>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</si>
  <si>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</si>
  <si>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</si>
  <si>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</si>
  <si>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</si>
  <si>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</si>
  <si>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</si>
  <si>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</si>
  <si>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</si>
  <si>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</si>
  <si>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</si>
  <si>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</si>
  <si>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</si>
  <si>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</si>
  <si>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</si>
  <si>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</si>
  <si>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</si>
  <si>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</si>
  <si>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</si>
  <si>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</si>
  <si>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</si>
  <si>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</si>
  <si>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</si>
  <si>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</si>
  <si>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</si>
  <si>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</si>
  <si>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</si>
  <si>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</si>
  <si>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</si>
  <si>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</si>
  <si>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</si>
  <si>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</si>
  <si>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</si>
  <si>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</si>
  <si>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</si>
  <si>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</si>
  <si>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</si>
  <si>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</si>
  <si>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</si>
  <si>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</si>
  <si>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</si>
  <si>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</si>
  <si>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</si>
  <si>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</si>
  <si>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</si>
  <si>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</si>
  <si>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</si>
  <si>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</si>
  <si>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</si>
  <si>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</si>
  <si>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</si>
  <si>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</si>
  <si>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</si>
  <si>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</si>
  <si>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</si>
  <si>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</si>
  <si>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</si>
  <si>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</si>
  <si>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</si>
  <si>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</si>
  <si>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</si>
  <si>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</si>
  <si>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</si>
  <si>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</si>
  <si>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</si>
  <si>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</si>
  <si>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</si>
  <si>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</si>
  <si>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</si>
  <si>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</si>
  <si>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</si>
  <si>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</si>
  <si>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</si>
  <si>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</si>
  <si>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</si>
  <si>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</si>
  <si>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</si>
  <si>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</si>
  <si>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</si>
  <si>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</si>
  <si>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</si>
  <si>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</si>
  <si>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</si>
  <si>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</si>
  <si>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</si>
  <si>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</si>
  <si>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</si>
  <si>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</si>
  <si>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</si>
  <si>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</si>
  <si>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</si>
  <si>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</si>
  <si>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</si>
  <si>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</si>
  <si>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</si>
  <si>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</si>
  <si>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</si>
  <si>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</si>
  <si>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</si>
  <si>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</si>
  <si>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</si>
  <si>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</si>
  <si>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</si>
  <si>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</si>
  <si>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</si>
  <si>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</si>
  <si>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</si>
  <si>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</si>
  <si>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</si>
  <si>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</si>
  <si>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</si>
  <si>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</si>
  <si>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</si>
  <si>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</si>
  <si>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</si>
  <si>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</si>
  <si>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</si>
  <si>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</si>
  <si>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</si>
  <si>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</si>
  <si>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</si>
  <si>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</si>
  <si>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</si>
  <si>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</si>
  <si>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</si>
  <si>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</si>
  <si>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</si>
  <si>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</si>
  <si>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</si>
  <si>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</si>
  <si>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</si>
  <si>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</si>
  <si>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</si>
  <si>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</si>
  <si>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</si>
  <si>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</si>
  <si>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</si>
  <si>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</si>
  <si>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</si>
  <si>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</si>
  <si>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</si>
  <si>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</si>
  <si>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</si>
  <si>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</si>
  <si>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</si>
  <si>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</si>
  <si>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</si>
  <si>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</si>
  <si>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</si>
  <si>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</si>
  <si>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</si>
  <si>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</si>
  <si>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</si>
  <si>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</si>
  <si>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</si>
  <si>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</si>
  <si>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</si>
  <si>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</si>
  <si>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</si>
  <si>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</si>
  <si>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</si>
  <si>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</si>
  <si>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</si>
  <si>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</si>
  <si>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</si>
  <si>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</si>
  <si>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</si>
  <si>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</si>
  <si>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</si>
  <si>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</si>
  <si>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</si>
  <si>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</si>
  <si>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</si>
  <si>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</si>
  <si>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</si>
  <si>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</si>
  <si>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</si>
  <si>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</si>
  <si>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</si>
  <si>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</si>
  <si>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</si>
  <si>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</si>
  <si>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</si>
  <si>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</si>
  <si>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</si>
  <si>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</si>
  <si>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</si>
  <si>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</si>
  <si>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</si>
  <si>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</si>
  <si>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</si>
  <si>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</si>
  <si>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</si>
  <si>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</si>
  <si>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</si>
  <si>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</si>
  <si>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</si>
  <si>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</si>
  <si>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</si>
  <si>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</si>
  <si>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</si>
  <si>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</si>
  <si>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</si>
  <si>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</si>
  <si>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</si>
  <si>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</si>
  <si>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</si>
  <si>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</si>
  <si>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</si>
  <si>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</si>
  <si>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</si>
  <si>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</si>
  <si>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</si>
  <si>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</si>
  <si>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</si>
  <si>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</si>
  <si>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</si>
  <si>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</si>
  <si>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</si>
  <si>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</si>
  <si>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</si>
  <si>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</si>
  <si>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</si>
  <si>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</si>
  <si>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</si>
  <si>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</si>
  <si>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</si>
  <si>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</si>
  <si>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</si>
  <si>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</si>
  <si>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</si>
  <si>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</si>
  <si>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</si>
  <si>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</si>
  <si>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</si>
  <si>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</si>
  <si>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</si>
  <si>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</si>
  <si>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</si>
  <si>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</si>
  <si>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</si>
  <si>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</si>
  <si>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</si>
  <si>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</si>
  <si>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</si>
  <si>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</si>
  <si>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</si>
  <si>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</si>
  <si>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</si>
  <si>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</si>
  <si>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</si>
  <si>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</si>
  <si>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</si>
  <si>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</si>
  <si>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</si>
  <si>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</si>
  <si>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</si>
  <si>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</si>
  <si>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</si>
  <si>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</si>
  <si>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</si>
  <si>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</si>
  <si>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</si>
  <si>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</si>
  <si>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</si>
  <si>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</si>
  <si>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</si>
  <si>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</si>
  <si>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</si>
  <si>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</si>
  <si>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</si>
  <si>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</si>
  <si>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</si>
  <si>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</si>
  <si>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</si>
  <si>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</si>
  <si>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</si>
  <si>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</si>
  <si>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</si>
  <si>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</si>
  <si>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</si>
  <si>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</si>
  <si>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</si>
  <si>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</si>
  <si>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</si>
  <si>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</si>
  <si>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</si>
  <si>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</si>
  <si>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</si>
  <si>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</si>
  <si>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</si>
  <si>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</si>
  <si>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</si>
  <si>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</si>
  <si>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</si>
  <si>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</si>
  <si>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</si>
  <si>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</si>
  <si>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</si>
  <si>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</si>
  <si>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</si>
  <si>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</si>
  <si>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</si>
  <si>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</si>
  <si>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</si>
  <si>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</si>
  <si>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</si>
  <si>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</si>
  <si>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</si>
  <si>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</si>
  <si>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</si>
  <si>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</si>
  <si>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</si>
  <si>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</si>
  <si>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</si>
  <si>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</si>
  <si>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</si>
  <si>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</si>
  <si>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</si>
  <si>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</si>
  <si>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</si>
  <si>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</si>
  <si>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</si>
  <si>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</si>
  <si>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</si>
  <si>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</si>
  <si>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</si>
  <si>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</si>
  <si>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</si>
  <si>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</si>
  <si>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</si>
  <si>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</si>
  <si>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</si>
  <si>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</si>
  <si>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</si>
  <si>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</si>
  <si>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</si>
  <si>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</si>
  <si>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</si>
  <si>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</si>
  <si>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</si>
  <si>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</si>
  <si>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</si>
  <si>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</si>
  <si>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</si>
  <si>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</si>
  <si>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</si>
  <si>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</si>
  <si>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</si>
  <si>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</si>
  <si>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</si>
  <si>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</si>
  <si>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</si>
  <si>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</si>
  <si>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</si>
  <si>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</si>
  <si>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</si>
  <si>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</si>
  <si>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</si>
  <si>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</si>
  <si>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</si>
  <si>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</si>
  <si>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</si>
  <si>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</si>
  <si>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</si>
  <si>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</si>
  <si>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</si>
  <si>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</si>
  <si>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</si>
  <si>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</si>
  <si>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</si>
  <si>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</si>
  <si>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</si>
  <si>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</si>
  <si>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</si>
  <si>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</si>
  <si>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</si>
  <si>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</si>
  <si>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</si>
  <si>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</si>
  <si>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</si>
  <si>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</si>
  <si>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</si>
  <si>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</si>
  <si>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</si>
  <si>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</si>
  <si>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</si>
  <si>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</si>
  <si>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</si>
  <si>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</si>
  <si>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</si>
  <si>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</si>
  <si>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</si>
  <si>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</si>
  <si>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</si>
  <si>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</si>
  <si>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</si>
  <si>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</si>
  <si>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</si>
  <si>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</si>
  <si>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</si>
  <si>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</si>
  <si>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</si>
  <si>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</si>
  <si>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</si>
  <si>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</si>
  <si>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</si>
  <si>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</si>
  <si>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</si>
  <si>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</si>
  <si>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</si>
  <si>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</si>
  <si>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</si>
  <si>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</si>
  <si>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</si>
  <si>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</si>
  <si>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</si>
  <si>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</si>
  <si>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</si>
  <si>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</si>
  <si>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</si>
  <si>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</si>
  <si>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</si>
  <si>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</si>
  <si>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</si>
  <si>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</si>
  <si>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</si>
  <si>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</si>
  <si>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</si>
  <si>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</si>
  <si>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</si>
  <si>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</si>
  <si>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</si>
  <si>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</si>
  <si>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</si>
  <si>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</si>
  <si>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</si>
  <si>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</si>
  <si>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</si>
  <si>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</si>
  <si>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</si>
  <si>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</si>
  <si>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</si>
  <si>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</si>
  <si>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</si>
  <si>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</si>
  <si>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</si>
  <si>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</si>
  <si>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</si>
  <si>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</si>
  <si>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</si>
  <si>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</si>
  <si>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</si>
  <si>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</si>
  <si>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</si>
  <si>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</si>
  <si>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</si>
  <si>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</si>
  <si>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</si>
  <si>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</si>
  <si>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</si>
  <si>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</si>
  <si>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</si>
  <si>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</si>
  <si>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</si>
  <si>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</si>
  <si>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</si>
  <si>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</si>
  <si>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</si>
  <si>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</si>
  <si>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</si>
  <si>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</si>
  <si>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</si>
  <si>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</si>
  <si>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</si>
  <si>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</si>
  <si>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</si>
  <si>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</si>
  <si>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</si>
  <si>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</si>
  <si>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</si>
  <si>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</si>
  <si>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</si>
  <si>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</si>
  <si>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</si>
  <si>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</si>
  <si>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</si>
  <si>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</si>
  <si>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</si>
  <si>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</si>
  <si>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</si>
  <si>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</si>
  <si>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</si>
  <si>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</si>
  <si>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</si>
  <si>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</si>
  <si>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</si>
  <si>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</si>
  <si>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</si>
  <si>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</si>
  <si>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</si>
  <si>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</si>
  <si>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</si>
  <si>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</si>
  <si>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</si>
  <si>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</si>
  <si>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</si>
  <si>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</si>
  <si>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</si>
  <si>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</si>
  <si>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</si>
  <si>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</si>
  <si>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</si>
  <si>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</si>
  <si>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</si>
  <si>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</si>
  <si>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</si>
  <si>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</si>
  <si>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</si>
  <si>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</si>
  <si>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</si>
  <si>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</si>
  <si>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</si>
  <si>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</si>
  <si>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</si>
  <si>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</si>
  <si>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</si>
  <si>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</si>
  <si>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</si>
  <si>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</si>
  <si>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</si>
  <si>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</si>
  <si>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</si>
  <si>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</si>
  <si>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</si>
  <si>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</si>
  <si>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</si>
  <si>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</si>
  <si>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</si>
  <si>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</si>
  <si>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</si>
  <si>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</si>
  <si>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</si>
  <si>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</si>
  <si>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</si>
  <si>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</si>
  <si>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</si>
  <si>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</si>
  <si>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</si>
  <si>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</si>
  <si>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</si>
  <si>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</si>
  <si>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</si>
  <si>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</si>
  <si>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</si>
  <si>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</si>
  <si>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</si>
  <si>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</si>
  <si>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</si>
  <si>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</si>
  <si>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</si>
  <si>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</si>
  <si>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</si>
  <si>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</si>
  <si>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</si>
  <si>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</si>
  <si>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</si>
  <si>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</si>
  <si>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</si>
  <si>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</si>
  <si>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</si>
  <si>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</si>
  <si>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</si>
  <si>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</si>
  <si>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</si>
  <si>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</si>
  <si>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</si>
  <si>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</si>
  <si>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</si>
  <si>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</si>
  <si>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</si>
  <si>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</si>
  <si>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</si>
  <si>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</si>
  <si>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</si>
  <si>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</si>
  <si>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</si>
  <si>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</si>
  <si>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</si>
  <si>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</si>
  <si>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</si>
  <si>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</si>
  <si>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</si>
  <si>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</si>
  <si>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</si>
  <si>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</si>
  <si>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</si>
  <si>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</si>
  <si>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</si>
  <si>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</si>
  <si>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</si>
  <si>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</si>
  <si>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</si>
  <si>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</si>
  <si>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</si>
  <si>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</si>
  <si>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</si>
  <si>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</si>
  <si>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</si>
  <si>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</si>
  <si>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</si>
  <si>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</si>
  <si>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</si>
  <si>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</si>
  <si>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</si>
  <si>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</si>
  <si>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</si>
  <si>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</si>
  <si>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</si>
  <si>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</si>
  <si>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</si>
  <si>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</si>
  <si>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</si>
  <si>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</si>
  <si>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</si>
  <si>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</si>
  <si>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</si>
  <si>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</si>
  <si>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</si>
  <si>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</si>
  <si>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</si>
  <si>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</si>
  <si>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</si>
  <si>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</si>
  <si>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</si>
  <si>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</si>
  <si>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</si>
  <si>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</si>
  <si>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</si>
  <si>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</si>
  <si>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</si>
  <si>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</si>
  <si>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</si>
  <si>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</si>
  <si>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</si>
  <si>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</si>
  <si>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</si>
  <si>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</si>
  <si>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</si>
  <si>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</si>
  <si>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</si>
  <si>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</si>
  <si>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</si>
  <si>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</si>
  <si>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</si>
  <si>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</si>
  <si>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</si>
  <si>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</si>
  <si>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</si>
  <si>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</si>
  <si>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</si>
  <si>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</si>
  <si>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</si>
  <si>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</si>
  <si>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</si>
  <si>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</si>
  <si>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</si>
  <si>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</si>
  <si>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</si>
  <si>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</si>
  <si>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</si>
  <si>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</si>
  <si>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</si>
  <si>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</si>
  <si>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</si>
  <si>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</si>
  <si>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</si>
  <si>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</si>
  <si>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</si>
  <si>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</si>
  <si>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</si>
  <si>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</si>
  <si>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</si>
  <si>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</si>
  <si>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</si>
  <si>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</si>
  <si>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</si>
  <si>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</si>
  <si>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</si>
  <si>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</si>
  <si>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</si>
  <si>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</si>
  <si>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</si>
  <si>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</si>
  <si>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</si>
  <si>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</si>
  <si>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</si>
  <si>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</si>
  <si>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</si>
  <si>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</si>
  <si>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</si>
  <si>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</si>
  <si>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</si>
  <si>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</si>
  <si>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</si>
  <si>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</si>
  <si>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</si>
  <si>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</si>
  <si>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</si>
  <si>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</si>
  <si>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</si>
  <si>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</si>
  <si>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</si>
  <si>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</si>
  <si>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</si>
  <si>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</si>
  <si>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</si>
  <si>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</si>
  <si>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</si>
  <si>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</si>
  <si>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</si>
  <si>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</si>
  <si>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</si>
  <si>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</si>
  <si>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</si>
  <si>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</si>
  <si>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</si>
  <si>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</si>
  <si>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</si>
  <si>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</si>
  <si>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</si>
  <si>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</si>
  <si>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</si>
  <si>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</si>
  <si>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</si>
  <si>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</si>
  <si>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</si>
  <si>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</si>
  <si>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</si>
  <si>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</si>
  <si>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</si>
  <si>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</si>
  <si>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</si>
  <si>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</si>
  <si>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</si>
  <si>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</si>
  <si>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</si>
  <si>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</si>
  <si>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</si>
  <si>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</si>
  <si>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</si>
  <si>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</si>
  <si>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</si>
  <si>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</si>
  <si>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</si>
  <si>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</si>
  <si>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</si>
  <si>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</si>
  <si>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</si>
  <si>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</si>
  <si>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</si>
  <si>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</si>
  <si>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</si>
  <si>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</si>
  <si>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</si>
  <si>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</si>
  <si>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</si>
  <si>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</si>
  <si>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</si>
  <si>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</si>
  <si>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</si>
  <si>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</si>
  <si>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</si>
  <si>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</si>
  <si>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</si>
  <si>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</si>
  <si>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</si>
  <si>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</si>
  <si>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</si>
  <si>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</si>
  <si>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</si>
  <si>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</si>
  <si>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</si>
  <si>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</si>
  <si>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</si>
  <si>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</si>
  <si>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</si>
  <si>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</si>
  <si>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</si>
  <si>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</si>
  <si>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</si>
  <si>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</si>
  <si>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</si>
  <si>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</si>
  <si>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</si>
  <si>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</si>
  <si>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</si>
  <si>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</si>
  <si>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</si>
  <si>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</si>
  <si>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</si>
  <si>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</si>
  <si>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</si>
  <si>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</si>
  <si>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</si>
  <si>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</si>
  <si>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</si>
  <si>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</si>
  <si>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</si>
  <si>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</si>
  <si>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</si>
  <si>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</si>
  <si>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</si>
  <si>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</si>
  <si>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</si>
  <si>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</si>
  <si>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</si>
  <si>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</si>
  <si>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</si>
  <si>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</si>
  <si>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</si>
  <si>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</si>
  <si>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</si>
  <si>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</si>
  <si>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</si>
  <si>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</si>
  <si>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</si>
  <si>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</si>
  <si>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</si>
  <si>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</si>
  <si>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</si>
  <si>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</si>
  <si>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</si>
  <si>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</si>
  <si>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</si>
  <si>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</si>
  <si>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</si>
  <si>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</si>
  <si>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</si>
  <si>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</si>
  <si>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</si>
  <si>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</si>
  <si>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</si>
  <si>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</si>
  <si>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</si>
  <si>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</si>
  <si>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</si>
  <si>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</si>
  <si>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</si>
  <si>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</si>
  <si>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</si>
  <si>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</si>
  <si>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</si>
  <si>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</si>
  <si>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</si>
  <si>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</si>
  <si>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</si>
  <si>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</si>
  <si>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</si>
  <si>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</si>
  <si>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</si>
  <si>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</si>
  <si>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</si>
  <si>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</si>
  <si>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</si>
  <si>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</si>
  <si>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</si>
  <si>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</si>
  <si>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</si>
  <si>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</si>
  <si>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</si>
  <si>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</si>
  <si>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</si>
  <si>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</si>
  <si>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</si>
  <si>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</si>
  <si>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</si>
  <si>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</si>
  <si>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</si>
  <si>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</si>
  <si>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</si>
  <si>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</si>
  <si>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</si>
  <si>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</si>
  <si>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</si>
  <si>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</si>
  <si>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</si>
  <si>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</si>
  <si>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</si>
  <si>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</si>
  <si>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</si>
  <si>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</si>
  <si>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</si>
  <si>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</si>
  <si>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</si>
  <si>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</si>
  <si>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</si>
  <si>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</si>
  <si>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</si>
  <si>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</si>
  <si>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</si>
  <si>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</si>
  <si>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</si>
  <si>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</si>
  <si>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</si>
  <si>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</si>
  <si>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</si>
  <si>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</si>
  <si>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</si>
  <si>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</si>
  <si>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</si>
  <si>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</si>
  <si>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</si>
  <si>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</si>
  <si>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</si>
  <si>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</si>
  <si>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</si>
  <si>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</si>
  <si>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</si>
  <si>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</si>
  <si>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</si>
  <si>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</si>
  <si>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</si>
  <si>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</si>
  <si>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</si>
  <si>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</si>
  <si>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</si>
  <si>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</si>
  <si>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</si>
  <si>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</si>
  <si>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</si>
  <si>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</si>
  <si>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</si>
  <si>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</si>
  <si>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</si>
  <si>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</si>
  <si>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</si>
  <si>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</si>
  <si>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</si>
  <si>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</si>
  <si>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</si>
  <si>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</si>
  <si>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</si>
  <si>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</si>
  <si>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</si>
  <si>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</si>
  <si>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</si>
  <si>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</si>
  <si>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</si>
  <si>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</si>
  <si>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</si>
  <si>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</si>
  <si>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</si>
  <si>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</si>
  <si>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</si>
  <si>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</si>
  <si>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</si>
  <si>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</si>
  <si>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</si>
  <si>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</si>
  <si>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</si>
  <si>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</si>
  <si>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</si>
  <si>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</si>
  <si>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</si>
  <si>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</si>
  <si>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</si>
  <si>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</si>
  <si>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</si>
  <si>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</si>
  <si>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</si>
  <si>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</si>
  <si>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</si>
  <si>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</si>
  <si>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</si>
  <si>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</si>
  <si>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</si>
  <si>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</si>
  <si>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</si>
  <si>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</si>
  <si>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</si>
  <si>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</si>
  <si>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</si>
  <si>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</si>
  <si>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</si>
  <si>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</si>
  <si>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</si>
  <si>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</si>
  <si>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</si>
  <si>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</si>
  <si>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</si>
  <si>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</si>
  <si>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</si>
  <si>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</si>
  <si>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</si>
  <si>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</si>
  <si>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</si>
  <si>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</si>
  <si>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</si>
  <si>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</si>
  <si>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</si>
  <si>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</si>
  <si>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</si>
  <si>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</si>
  <si>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</si>
  <si>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</si>
  <si>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</si>
  <si>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</si>
  <si>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</si>
  <si>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</si>
  <si>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</si>
  <si>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</si>
  <si>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</si>
  <si>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</si>
  <si>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</si>
  <si>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</si>
  <si>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</si>
  <si>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</si>
  <si>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</si>
  <si>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</si>
  <si>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</si>
  <si>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</si>
  <si>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</si>
  <si>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</si>
  <si>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</si>
  <si>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</si>
  <si>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</si>
  <si>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</si>
  <si>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</si>
  <si>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</si>
  <si>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</si>
  <si>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</si>
  <si>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</si>
  <si>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</si>
  <si>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</si>
  <si>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</si>
  <si>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</si>
  <si>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</si>
  <si>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</si>
  <si>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</si>
  <si>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</si>
  <si>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</si>
  <si>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</si>
  <si>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</si>
  <si>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</si>
  <si>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</si>
  <si>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</si>
  <si>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</si>
  <si>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</si>
  <si>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</si>
  <si>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</si>
  <si>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</si>
  <si>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</si>
  <si>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</si>
  <si>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</si>
  <si>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</si>
  <si>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</si>
  <si>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</si>
  <si>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</si>
  <si>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</si>
  <si>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</si>
  <si>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</si>
  <si>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</si>
  <si>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</si>
  <si>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</si>
  <si>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</si>
  <si>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</si>
  <si>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</si>
  <si>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</si>
  <si>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</si>
  <si>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</si>
  <si>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</si>
  <si>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</si>
  <si>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</si>
  <si>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</si>
  <si>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</si>
  <si>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</si>
  <si>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</si>
  <si>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</si>
  <si>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</si>
  <si>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</si>
  <si>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</si>
  <si>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</si>
  <si>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</si>
  <si>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</si>
  <si>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</si>
  <si>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</si>
  <si>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</si>
  <si>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</si>
  <si>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</si>
  <si>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</si>
  <si>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</si>
  <si>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</si>
  <si>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</si>
  <si>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</si>
  <si>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</si>
  <si>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</si>
  <si>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</si>
  <si>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</si>
  <si>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</si>
  <si>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</si>
  <si>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</si>
  <si>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</si>
  <si>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</si>
  <si>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</si>
  <si>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</si>
  <si>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</si>
  <si>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</si>
  <si>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</si>
  <si>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</si>
  <si>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</si>
  <si>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</si>
  <si>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</si>
  <si>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</si>
  <si>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</si>
  <si>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</si>
  <si>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</si>
  <si>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</si>
  <si>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</si>
  <si>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</si>
  <si>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</si>
  <si>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</si>
  <si>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</si>
  <si>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</si>
  <si>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</si>
  <si>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</si>
  <si>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</si>
  <si>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</si>
  <si>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</si>
  <si>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</si>
  <si>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</si>
  <si>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</si>
  <si>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</si>
  <si>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</si>
  <si>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</si>
  <si>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</si>
  <si>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</si>
  <si>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</si>
  <si>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</si>
  <si>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</si>
  <si>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</si>
  <si>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</si>
  <si>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</si>
  <si>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</si>
  <si>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</si>
  <si>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</si>
  <si>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</si>
  <si>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</si>
  <si>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</si>
  <si>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</si>
  <si>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</si>
  <si>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</si>
  <si>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</si>
  <si>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</si>
  <si>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</si>
  <si>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</si>
  <si>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</si>
  <si>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</si>
  <si>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</si>
  <si>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</si>
  <si>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</si>
  <si>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</si>
  <si>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</si>
  <si>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</si>
  <si>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</si>
  <si>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</si>
  <si>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</si>
  <si>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</si>
  <si>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</si>
  <si>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</si>
  <si>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</si>
  <si>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</si>
  <si>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</si>
  <si>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</si>
  <si>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</si>
  <si>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</si>
  <si>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</si>
  <si>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</si>
  <si>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</si>
  <si>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</si>
  <si>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</si>
  <si>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</si>
  <si>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</si>
  <si>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</si>
  <si>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</si>
  <si>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</si>
  <si>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</si>
  <si>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</si>
  <si>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</si>
  <si>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</si>
  <si>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</si>
  <si>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</si>
  <si>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</si>
  <si>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</si>
  <si>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</si>
  <si>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</si>
  <si>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</si>
  <si>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</si>
  <si>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</si>
  <si>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</si>
  <si>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</si>
  <si>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</si>
  <si>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</si>
  <si>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</si>
  <si>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</si>
  <si>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</si>
  <si>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</si>
  <si>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</si>
  <si>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</si>
  <si>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</si>
  <si>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</si>
  <si>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</si>
  <si>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</si>
  <si>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</si>
  <si>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</si>
  <si>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</si>
  <si>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</si>
  <si>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</si>
  <si>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</si>
  <si>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</si>
  <si>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</si>
  <si>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</si>
  <si>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</si>
  <si>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</si>
  <si>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</si>
  <si>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</si>
  <si>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</si>
  <si>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</si>
  <si>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</si>
  <si>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</si>
  <si>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</si>
  <si>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</si>
  <si>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</si>
  <si>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</si>
  <si>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</si>
  <si>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</si>
  <si>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</si>
  <si>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</si>
  <si>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</si>
  <si>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</si>
  <si>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</si>
  <si>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</si>
  <si>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</si>
  <si>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</si>
  <si>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</si>
  <si>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</si>
  <si>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</si>
  <si>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</si>
  <si>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</si>
  <si>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</si>
  <si>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</si>
  <si>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</si>
  <si>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</si>
  <si>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</si>
  <si>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</si>
  <si>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</si>
  <si>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</si>
  <si>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</si>
  <si>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</si>
  <si>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</si>
  <si>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</si>
  <si>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</si>
  <si>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</si>
  <si>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</si>
  <si>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</si>
  <si>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</si>
  <si>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</si>
  <si>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</si>
  <si>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</si>
  <si>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</si>
  <si>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</si>
  <si>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</si>
  <si>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</si>
  <si>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</si>
  <si>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</si>
  <si>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</si>
  <si>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</si>
  <si>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</si>
  <si>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</si>
  <si>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</si>
  <si>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</si>
  <si>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</si>
  <si>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</si>
  <si>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</si>
  <si>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</si>
  <si>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</si>
  <si>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</si>
  <si>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</si>
  <si>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</si>
  <si>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</si>
  <si>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</si>
  <si>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</si>
  <si>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</si>
  <si>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</si>
  <si>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</si>
  <si>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</si>
  <si>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</si>
  <si>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</si>
  <si>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</si>
  <si>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</si>
  <si>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</si>
  <si>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</si>
  <si>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</si>
  <si>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</si>
  <si>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</si>
  <si>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</si>
  <si>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</si>
  <si>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</si>
  <si>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</si>
  <si>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</si>
  <si>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</si>
  <si>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</si>
  <si>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</si>
  <si>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</si>
  <si>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</si>
  <si>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</si>
  <si>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</si>
  <si>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</si>
  <si>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</si>
  <si>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</si>
  <si>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</si>
  <si>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</si>
  <si>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</si>
  <si>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</si>
  <si>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</si>
  <si>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</si>
  <si>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</si>
  <si>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</si>
  <si>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</si>
  <si>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</si>
  <si>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</si>
  <si>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</si>
  <si>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</si>
  <si>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</si>
  <si>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</si>
  <si>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</si>
  <si>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</si>
  <si>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</si>
  <si>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</si>
  <si>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</si>
  <si>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</si>
  <si>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</si>
  <si>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</si>
  <si>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</si>
  <si>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</si>
  <si>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</si>
  <si>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</si>
  <si>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</si>
  <si>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</si>
  <si>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</si>
  <si>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</si>
  <si>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</si>
  <si>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</si>
  <si>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</si>
  <si>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</si>
  <si>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</si>
  <si>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</si>
  <si>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</si>
  <si>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</si>
  <si>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</si>
  <si>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</si>
  <si>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</si>
  <si>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</si>
  <si>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</si>
  <si>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</si>
  <si>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</si>
  <si>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</si>
  <si>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</si>
  <si>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</si>
  <si>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</si>
  <si>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</si>
  <si>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</si>
  <si>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</si>
  <si>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</si>
  <si>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</si>
  <si>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</si>
  <si>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</si>
  <si>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</si>
  <si>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</si>
  <si>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</si>
  <si>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</si>
  <si>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</si>
  <si>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</si>
  <si>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</si>
  <si>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</si>
  <si>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</si>
  <si>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</si>
  <si>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</si>
  <si>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</si>
  <si>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</si>
  <si>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</si>
  <si>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</si>
  <si>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</si>
  <si>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</si>
  <si>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</si>
  <si>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</si>
  <si>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</si>
  <si>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</si>
  <si>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</si>
  <si>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</si>
  <si>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</si>
  <si>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</si>
  <si>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</si>
  <si>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</si>
  <si>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</si>
  <si>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</si>
  <si>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</si>
  <si>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</si>
  <si>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</si>
  <si>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</si>
  <si>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</si>
  <si>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</si>
  <si>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</si>
  <si>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</si>
  <si>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</si>
  <si>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</si>
  <si>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</si>
  <si>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</si>
  <si>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</si>
  <si>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</si>
  <si>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</si>
  <si>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</si>
  <si>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</si>
  <si>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</si>
  <si>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</si>
  <si>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</si>
  <si>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</si>
  <si>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</si>
  <si>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</si>
  <si>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</si>
  <si>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</si>
  <si>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</si>
  <si>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</si>
  <si>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</si>
  <si>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</si>
  <si>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</si>
  <si>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</si>
  <si>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</si>
  <si>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</si>
  <si>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</si>
  <si>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</si>
  <si>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</si>
  <si>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</si>
  <si>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</si>
  <si>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</si>
  <si>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</si>
  <si>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</si>
  <si>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</si>
  <si>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</si>
  <si>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</si>
  <si>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</si>
  <si>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</si>
  <si>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</si>
  <si>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</si>
  <si>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</si>
  <si>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</si>
  <si>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</si>
  <si>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</si>
  <si>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</si>
  <si>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</si>
  <si>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</si>
  <si>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</si>
  <si>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</si>
  <si>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</si>
  <si>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</si>
  <si>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</si>
  <si>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</si>
  <si>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</si>
  <si>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</si>
  <si>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</si>
  <si>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</si>
  <si>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</si>
  <si>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</si>
  <si>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</si>
  <si>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</si>
  <si>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</si>
  <si>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</si>
  <si>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</si>
  <si>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</si>
  <si>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</si>
  <si>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</si>
  <si>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</si>
  <si>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</si>
  <si>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</si>
  <si>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</si>
  <si>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</si>
  <si>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</si>
  <si>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</si>
  <si>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</si>
  <si>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</si>
  <si>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</si>
  <si>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</si>
  <si>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</si>
  <si>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</si>
  <si>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</si>
  <si>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</si>
  <si>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</si>
  <si>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</si>
  <si>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</si>
  <si>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</si>
  <si>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</si>
  <si>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</si>
  <si>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</si>
  <si>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</si>
  <si>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</si>
  <si>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</si>
  <si>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</si>
  <si>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</si>
  <si>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</si>
  <si>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</si>
  <si>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</si>
  <si>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</si>
  <si>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</si>
  <si>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</si>
  <si>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</si>
  <si>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</si>
  <si>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</si>
  <si>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</si>
  <si>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</si>
  <si>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</si>
  <si>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</si>
  <si>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</si>
  <si>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</si>
  <si>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</si>
  <si>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</si>
  <si>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</si>
  <si>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</si>
  <si>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</si>
  <si>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</si>
  <si>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</si>
  <si>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</si>
  <si>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</si>
  <si>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</si>
  <si>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</si>
  <si>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</si>
  <si>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</si>
  <si>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</si>
  <si>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</si>
  <si>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</si>
  <si>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</si>
  <si>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</si>
  <si>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</si>
  <si>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</si>
  <si>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</si>
  <si>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</si>
  <si>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</si>
  <si>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</si>
  <si>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</si>
  <si>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</si>
  <si>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</si>
  <si>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</si>
  <si>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</si>
  <si>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</si>
  <si>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</si>
  <si>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</si>
  <si>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</si>
  <si>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</si>
  <si>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</si>
  <si>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</si>
  <si>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</si>
  <si>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</si>
  <si>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</si>
  <si>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</si>
  <si>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</si>
  <si>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</si>
  <si>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</si>
  <si>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</si>
  <si>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</si>
  <si>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</si>
  <si>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</si>
  <si>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</si>
  <si>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</si>
  <si>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</si>
  <si>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</si>
  <si>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</si>
  <si>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</si>
  <si>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</si>
  <si>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</si>
  <si>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</si>
  <si>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</si>
  <si>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</si>
  <si>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</si>
  <si>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</si>
  <si>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</si>
  <si>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</si>
  <si>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</si>
  <si>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</si>
  <si>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</si>
  <si>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</si>
  <si>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</si>
  <si>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</si>
  <si>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</si>
  <si>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</si>
  <si>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</si>
  <si>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</si>
  <si>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</si>
  <si>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</si>
  <si>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</si>
  <si>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</si>
  <si>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</si>
  <si>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</si>
  <si>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</si>
  <si>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</si>
  <si>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</si>
  <si>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</si>
  <si>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</si>
  <si>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</si>
  <si>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</si>
  <si>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</si>
  <si>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</si>
  <si>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</si>
  <si>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</si>
  <si>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</si>
  <si>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</si>
  <si>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</si>
  <si>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</si>
  <si>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</si>
  <si>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</si>
  <si>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</si>
  <si>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</si>
  <si>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</si>
  <si>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</si>
  <si>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</si>
  <si>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</si>
  <si>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</si>
  <si>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</si>
  <si>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</si>
  <si>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</si>
  <si>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</si>
  <si>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</si>
  <si>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</si>
  <si>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</si>
  <si>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</si>
  <si>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</si>
  <si>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</si>
  <si>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</si>
  <si>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</si>
  <si>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</si>
  <si>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</si>
  <si>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</si>
  <si>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</si>
  <si>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</si>
  <si>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</si>
  <si>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</si>
  <si>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</si>
  <si>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</si>
  <si>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</si>
  <si>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</si>
  <si>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</si>
  <si>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</si>
  <si>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</si>
  <si>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</si>
  <si>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</si>
  <si>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</si>
  <si>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</si>
  <si>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</si>
  <si>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</si>
  <si>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</si>
  <si>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</si>
  <si>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</si>
  <si>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</si>
  <si>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</si>
  <si>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</si>
  <si>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</si>
  <si>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</si>
  <si>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</si>
  <si>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</si>
  <si>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</si>
  <si>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</si>
  <si>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</si>
  <si>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</si>
  <si>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</si>
  <si>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</si>
  <si>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</si>
  <si>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</si>
  <si>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</si>
  <si>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</si>
  <si>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</si>
  <si>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</si>
  <si>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</si>
  <si>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</si>
  <si>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</si>
  <si>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</si>
  <si>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</si>
  <si>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</si>
  <si>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</si>
  <si>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</si>
  <si>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</si>
  <si>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</si>
  <si>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</si>
  <si>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</si>
  <si>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</si>
  <si>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</si>
  <si>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</si>
  <si>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</si>
  <si>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</si>
  <si>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</si>
  <si>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</si>
  <si>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</si>
  <si>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</si>
  <si>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</si>
  <si>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</si>
  <si>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</si>
  <si>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</si>
  <si>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</si>
  <si>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</si>
  <si>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</si>
  <si>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</si>
  <si>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</si>
  <si>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</si>
  <si>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</si>
  <si>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</si>
  <si>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</si>
  <si>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</si>
  <si>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</si>
  <si>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</si>
  <si>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</si>
  <si>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</si>
  <si>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</si>
  <si>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</si>
  <si>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</si>
  <si>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</si>
  <si>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</si>
  <si>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</si>
  <si>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</si>
  <si>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</si>
  <si>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</si>
  <si>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</si>
  <si>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</si>
  <si>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</si>
  <si>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</si>
  <si>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</si>
  <si>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</si>
  <si>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</si>
  <si>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</si>
  <si>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</si>
  <si>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</si>
  <si>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</si>
  <si>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</si>
  <si>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</si>
  <si>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</si>
  <si>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</si>
  <si>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</si>
  <si>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</si>
  <si>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</si>
  <si>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</si>
  <si>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</si>
  <si>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</si>
  <si>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</si>
  <si>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</si>
  <si>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</si>
  <si>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</si>
  <si>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</si>
  <si>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</si>
  <si>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</si>
  <si>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</si>
  <si>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</si>
  <si>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</si>
  <si>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</si>
  <si>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</si>
  <si>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</si>
  <si>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</si>
  <si>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</si>
  <si>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</si>
  <si>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</si>
  <si>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</si>
  <si>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</si>
  <si>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</si>
  <si>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</si>
  <si>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</si>
  <si>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</si>
  <si>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</si>
  <si>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</si>
  <si>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</si>
  <si>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</si>
  <si>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</si>
  <si>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</si>
  <si>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</si>
  <si>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</si>
  <si>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</si>
  <si>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</si>
  <si>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</si>
  <si>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</si>
  <si>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</si>
  <si>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</si>
  <si>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</si>
  <si>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</si>
  <si>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</si>
  <si>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</si>
  <si>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</si>
  <si>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</si>
  <si>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</si>
  <si>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</si>
  <si>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</si>
  <si>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</si>
  <si>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</si>
  <si>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</si>
  <si>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</si>
  <si>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</si>
  <si>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</si>
  <si>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</si>
  <si>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</si>
  <si>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</si>
  <si>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</si>
  <si>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</si>
  <si>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</si>
  <si>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</si>
  <si>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</si>
  <si>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</si>
  <si>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</si>
  <si>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</si>
  <si>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</si>
  <si>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</si>
  <si>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</si>
  <si>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</si>
  <si>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</si>
  <si>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</si>
  <si>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</si>
  <si>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</si>
  <si>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</si>
  <si>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</si>
  <si>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</si>
  <si>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</si>
  <si>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</si>
  <si>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</si>
  <si>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</si>
  <si>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</si>
  <si>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</si>
  <si>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</si>
  <si>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</si>
  <si>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</si>
  <si>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</si>
  <si>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</si>
  <si>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</si>
  <si>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</si>
  <si>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</si>
  <si>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</si>
  <si>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</si>
  <si>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</si>
  <si>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</si>
  <si>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</si>
  <si>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</si>
  <si>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</si>
  <si>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</si>
  <si>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</si>
  <si>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</si>
  <si>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</si>
  <si>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</si>
  <si>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</si>
  <si>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</si>
  <si>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</si>
  <si>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</si>
  <si>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</si>
  <si>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</si>
  <si>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</si>
  <si>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</si>
  <si>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</si>
  <si>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</si>
  <si>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</si>
  <si>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</si>
  <si>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</si>
  <si>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</si>
  <si>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</si>
  <si>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</si>
  <si>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</si>
  <si>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</si>
  <si>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</si>
  <si>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</si>
  <si>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</si>
  <si>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</si>
  <si>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</si>
  <si>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</si>
  <si>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</si>
  <si>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</si>
  <si>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</si>
  <si>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</si>
  <si>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</si>
  <si>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</si>
  <si>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</si>
  <si>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</si>
  <si>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</si>
  <si>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</si>
  <si>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</si>
  <si>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</si>
  <si>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</si>
  <si>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</si>
  <si>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</si>
  <si>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</si>
  <si>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</si>
  <si>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</si>
  <si>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</si>
  <si>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</si>
  <si>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</si>
  <si>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</si>
  <si>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</si>
  <si>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</si>
  <si>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</si>
  <si>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</si>
  <si>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</si>
  <si>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</si>
  <si>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</si>
  <si>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</si>
  <si>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</si>
  <si>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</si>
  <si>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</si>
  <si>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</si>
  <si>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</si>
  <si>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</si>
  <si>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</si>
  <si>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</si>
  <si>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</si>
  <si>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</si>
  <si>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</si>
  <si>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</si>
  <si>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</si>
  <si>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</si>
  <si>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</si>
  <si>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</si>
  <si>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</si>
  <si>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</si>
  <si>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</si>
  <si>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</si>
  <si>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</si>
  <si>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</si>
  <si>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</si>
  <si>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</si>
  <si>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</si>
  <si>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</si>
  <si>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</si>
  <si>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</si>
  <si>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</si>
  <si>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</si>
  <si>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</si>
  <si>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</si>
  <si>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</si>
  <si>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</si>
  <si>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</si>
  <si>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</si>
  <si>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</si>
  <si>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</si>
  <si>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</si>
  <si>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</si>
  <si>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</si>
  <si>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</si>
  <si>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</si>
  <si>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</si>
  <si>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</si>
  <si>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</si>
  <si>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</si>
  <si>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</si>
  <si>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</si>
  <si>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</si>
  <si>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</si>
  <si>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</si>
  <si>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</si>
  <si>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</si>
  <si>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</si>
  <si>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</si>
  <si>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</si>
  <si>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</si>
  <si>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</si>
  <si>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</si>
  <si>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</si>
  <si>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</si>
  <si>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</si>
  <si>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</si>
  <si>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</si>
  <si>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</si>
  <si>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</si>
  <si>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</si>
  <si>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</si>
  <si>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</si>
  <si>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</si>
  <si>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</si>
  <si>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</si>
  <si>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</si>
  <si>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</si>
  <si>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</si>
  <si>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</si>
  <si>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</si>
  <si>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</si>
  <si>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</si>
  <si>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</si>
  <si>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</si>
  <si>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</si>
  <si>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</si>
  <si>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</si>
  <si>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</si>
  <si>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</si>
  <si>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</si>
  <si>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</si>
  <si>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</si>
  <si>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</si>
  <si>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</si>
  <si>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</si>
  <si>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</si>
  <si>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</si>
  <si>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</si>
  <si>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</si>
  <si>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</si>
  <si>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</si>
  <si>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</si>
  <si>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</si>
  <si>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</si>
  <si>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</si>
  <si>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</si>
  <si>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</si>
  <si>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</si>
  <si>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</si>
  <si>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</si>
  <si>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</si>
  <si>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</si>
  <si>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</si>
  <si>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</si>
  <si>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</si>
  <si>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</si>
  <si>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</si>
  <si>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</si>
  <si>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</si>
  <si>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</si>
  <si>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</si>
  <si>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</si>
  <si>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</si>
  <si>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</si>
  <si>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</si>
  <si>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</si>
  <si>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</si>
  <si>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</si>
  <si>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</si>
  <si>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</si>
  <si>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</si>
  <si>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</si>
  <si>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</si>
  <si>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</si>
  <si>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</si>
  <si>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</si>
  <si>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</si>
  <si>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</si>
  <si>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</si>
  <si>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</si>
  <si>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</si>
  <si>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</si>
  <si>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</si>
  <si>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</si>
  <si>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</si>
  <si>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</si>
  <si>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</si>
  <si>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</si>
  <si>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</si>
  <si>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</si>
  <si>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</si>
  <si>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</si>
  <si>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</si>
  <si>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</si>
  <si>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</si>
  <si>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</si>
  <si>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</si>
  <si>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</si>
  <si>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</si>
  <si>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</si>
  <si>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</si>
  <si>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</si>
  <si>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</si>
  <si>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</si>
  <si>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</si>
  <si>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</si>
  <si>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</si>
  <si>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</si>
  <si>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</si>
  <si>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</si>
  <si>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</si>
  <si>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</si>
  <si>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</si>
  <si>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</si>
  <si>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</si>
  <si>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</si>
  <si>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</si>
  <si>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</si>
  <si>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</si>
  <si>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</si>
  <si>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</si>
  <si>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</si>
  <si>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</si>
  <si>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</si>
  <si>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</si>
  <si>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</si>
  <si>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</si>
  <si>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</si>
  <si>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</si>
  <si>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</si>
  <si>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</si>
  <si>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</si>
  <si>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</si>
  <si>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</si>
  <si>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</si>
  <si>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</si>
  <si>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</si>
  <si>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</si>
  <si>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</si>
  <si>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</si>
  <si>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</si>
  <si>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</si>
  <si>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</si>
  <si>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</si>
  <si>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</si>
  <si>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</si>
  <si>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</si>
  <si>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</si>
  <si>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</si>
  <si>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</si>
  <si>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</si>
  <si>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</si>
  <si>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</si>
  <si>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</si>
  <si>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</si>
  <si>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</si>
  <si>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</si>
  <si>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</si>
  <si>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</si>
  <si>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</si>
  <si>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</si>
  <si>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</si>
  <si>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</si>
  <si>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</si>
  <si>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</si>
  <si>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</si>
  <si>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</si>
  <si>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</si>
  <si>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</si>
  <si>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</si>
  <si>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</si>
  <si>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</si>
  <si>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</si>
  <si>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</si>
  <si>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</si>
  <si>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</si>
  <si>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</si>
  <si>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</si>
  <si>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</si>
  <si>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</si>
  <si>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</si>
  <si>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</si>
  <si>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</si>
  <si>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</si>
  <si>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</si>
  <si>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</si>
  <si>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</si>
  <si>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</si>
  <si>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</si>
  <si>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</si>
  <si>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</si>
  <si>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</si>
  <si>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</si>
  <si>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</si>
  <si>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</si>
  <si>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</si>
  <si>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</si>
  <si>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</si>
  <si>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</si>
  <si>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</si>
  <si>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</si>
  <si>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</si>
  <si>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</si>
  <si>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</si>
  <si>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</si>
  <si>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</si>
  <si>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</si>
  <si>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</si>
  <si>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</si>
  <si>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</si>
  <si>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</si>
  <si>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</si>
  <si>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</si>
  <si>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</si>
  <si>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</si>
  <si>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</si>
  <si>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</si>
  <si>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</si>
  <si>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</si>
  <si>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</si>
  <si>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</si>
  <si>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</si>
  <si>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</si>
  <si>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</si>
  <si>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</si>
  <si>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</si>
  <si>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</si>
  <si>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</si>
  <si>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</si>
  <si>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</si>
  <si>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</si>
  <si>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</si>
  <si>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</si>
  <si>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</si>
  <si>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</si>
  <si>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</si>
  <si>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</si>
  <si>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</si>
  <si>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</si>
  <si>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</si>
  <si>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</si>
  <si>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</si>
  <si>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</si>
  <si>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</si>
  <si>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</si>
  <si>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</si>
  <si>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</si>
  <si>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</si>
  <si>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</si>
  <si>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</si>
  <si>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</si>
  <si>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</si>
  <si>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</si>
  <si>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</si>
  <si>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</si>
  <si>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</si>
  <si>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</si>
  <si>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</si>
  <si>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</si>
  <si>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</si>
  <si>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</si>
  <si>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</si>
  <si>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</si>
  <si>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</si>
  <si>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</si>
  <si>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</si>
  <si>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</si>
  <si>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</si>
  <si>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</si>
  <si>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</si>
  <si>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</si>
  <si>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</si>
  <si>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</si>
  <si>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</si>
  <si>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</si>
  <si>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</si>
  <si>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</si>
  <si>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</si>
  <si>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</si>
  <si>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</si>
  <si>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</si>
  <si>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</si>
  <si>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</si>
  <si>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</si>
  <si>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</si>
  <si>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</si>
  <si>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</si>
  <si>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</si>
  <si>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</si>
  <si>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</si>
  <si>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</si>
  <si>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</si>
  <si>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</si>
  <si>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</si>
  <si>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</si>
  <si>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</si>
  <si>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</si>
  <si>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</si>
  <si>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</si>
  <si>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</si>
  <si>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</si>
  <si>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</si>
  <si>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</si>
  <si>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</si>
  <si>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</si>
  <si>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</si>
  <si>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</si>
  <si>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</si>
  <si>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</si>
  <si>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</si>
  <si>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</si>
  <si>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</si>
  <si>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</si>
  <si>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</si>
  <si>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</si>
  <si>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</si>
  <si>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</si>
  <si>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</si>
  <si>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</si>
  <si>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</si>
  <si>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</si>
  <si>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</si>
  <si>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</si>
  <si>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</si>
  <si>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</si>
  <si>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</si>
  <si>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</si>
  <si>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</si>
  <si>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</si>
  <si>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</si>
  <si>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</si>
  <si>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</si>
  <si>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</si>
  <si>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</si>
  <si>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</si>
  <si>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</si>
  <si>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</si>
  <si>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</si>
  <si>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</si>
  <si>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</si>
  <si>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</si>
  <si>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</si>
  <si>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</si>
  <si>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</si>
  <si>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</si>
  <si>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</si>
  <si>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</si>
  <si>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</si>
  <si>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</si>
  <si>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</si>
  <si>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</si>
  <si>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</si>
  <si>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</si>
  <si>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</si>
  <si>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</si>
  <si>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</si>
  <si>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</si>
  <si>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</si>
  <si>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</si>
  <si>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</si>
  <si>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</si>
  <si>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</si>
  <si>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</si>
  <si>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</si>
  <si>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</si>
  <si>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</si>
  <si>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</si>
  <si>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</si>
  <si>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</si>
  <si>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</si>
  <si>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</si>
  <si>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</si>
  <si>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</si>
  <si>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</si>
  <si>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</si>
  <si>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</si>
  <si>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</si>
  <si>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</si>
  <si>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</si>
  <si>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</si>
  <si>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</si>
  <si>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</si>
  <si>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</si>
  <si>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</si>
  <si>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</si>
  <si>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</si>
  <si>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</si>
  <si>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</si>
  <si>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</si>
  <si>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</si>
  <si>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</si>
  <si>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</si>
  <si>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</si>
  <si>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</si>
  <si>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</si>
  <si>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</si>
  <si>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</si>
  <si>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</si>
  <si>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</si>
  <si>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</si>
  <si>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</si>
  <si>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</si>
  <si>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</si>
  <si>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</si>
  <si>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</si>
  <si>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</si>
  <si>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</si>
  <si>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</si>
  <si>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</si>
  <si>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</si>
  <si>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</si>
  <si>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</si>
  <si>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</si>
  <si>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</si>
  <si>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</si>
  <si>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</si>
  <si>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</si>
  <si>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</si>
  <si>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</si>
  <si>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</si>
  <si>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</si>
  <si>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</si>
  <si>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</si>
  <si>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</si>
  <si>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</si>
  <si>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</si>
  <si>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</si>
  <si>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</si>
  <si>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</si>
  <si>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</si>
  <si>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</si>
  <si>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</si>
  <si>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</si>
  <si>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</si>
  <si>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</si>
  <si>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</si>
  <si>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</si>
  <si>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</si>
  <si>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</si>
  <si>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</si>
  <si>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</si>
  <si>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</si>
  <si>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</si>
  <si>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</si>
  <si>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</si>
  <si>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</si>
  <si>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</si>
  <si>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</si>
  <si>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</si>
  <si>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</si>
  <si>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</si>
  <si>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</si>
  <si>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</si>
  <si>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</si>
  <si>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</si>
  <si>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</si>
  <si>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</si>
  <si>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</si>
  <si>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</si>
  <si>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</si>
  <si>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</si>
  <si>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</si>
  <si>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</si>
  <si>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</si>
  <si>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</si>
  <si>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</si>
  <si>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</si>
  <si>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</si>
  <si>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</si>
  <si>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</si>
  <si>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</si>
  <si>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</si>
  <si>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</si>
  <si>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</si>
  <si>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</si>
  <si>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</si>
  <si>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</si>
  <si>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</si>
  <si>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</si>
  <si>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</si>
  <si>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</si>
  <si>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</si>
  <si>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</si>
  <si>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</si>
  <si>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</si>
  <si>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</si>
  <si>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</si>
  <si>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</si>
  <si>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</si>
  <si>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</si>
  <si>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</si>
  <si>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</si>
  <si>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</si>
  <si>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</si>
  <si>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</si>
  <si>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</si>
  <si>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</si>
  <si>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</si>
  <si>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</si>
  <si>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</si>
  <si>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</si>
  <si>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</si>
  <si>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</si>
  <si>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</si>
  <si>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</si>
  <si>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</si>
  <si>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</si>
  <si>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</si>
  <si>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</si>
  <si>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</si>
  <si>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</si>
  <si>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</si>
  <si>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</si>
  <si>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</si>
  <si>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</si>
  <si>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</si>
  <si>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</si>
  <si>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</si>
  <si>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</si>
  <si>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</si>
  <si>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</si>
  <si>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</si>
  <si>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</si>
  <si>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</si>
  <si>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</si>
  <si>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</si>
  <si>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</si>
  <si>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</si>
  <si>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</si>
  <si>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</si>
  <si>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</si>
  <si>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</si>
  <si>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</si>
  <si>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</si>
  <si>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</si>
  <si>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</si>
  <si>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</si>
  <si>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</si>
  <si>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</si>
  <si>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</si>
  <si>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</si>
  <si>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</si>
  <si>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</si>
  <si>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</si>
  <si>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</si>
  <si>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</si>
  <si>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</si>
  <si>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</si>
  <si>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</si>
  <si>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</si>
  <si>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</si>
  <si>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</si>
  <si>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</si>
  <si>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</si>
  <si>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</si>
  <si>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</si>
  <si>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</si>
  <si>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</si>
  <si>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</si>
  <si>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</si>
  <si>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</si>
  <si>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</si>
  <si>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</si>
  <si>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</si>
  <si>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</si>
  <si>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</si>
  <si>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</si>
  <si>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</si>
  <si>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</si>
  <si>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</si>
  <si>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</si>
  <si>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</si>
  <si>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</si>
  <si>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</si>
  <si>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</si>
  <si>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</si>
  <si>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</si>
  <si>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</si>
  <si>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</si>
  <si>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</si>
  <si>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</si>
  <si>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</si>
  <si>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</si>
  <si>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</si>
  <si>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</si>
  <si>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</si>
  <si>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</si>
  <si>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</si>
  <si>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</si>
  <si>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</si>
  <si>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</si>
  <si>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</si>
  <si>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</si>
  <si>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</si>
  <si>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</si>
  <si>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</si>
  <si>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</si>
  <si>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</si>
  <si>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</si>
  <si>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</si>
  <si>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</si>
  <si>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</si>
  <si>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</si>
  <si>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</si>
  <si>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</si>
  <si>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</si>
  <si>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</si>
  <si>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</si>
  <si>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</si>
  <si>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</si>
  <si>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</si>
  <si>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</si>
  <si>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</si>
  <si>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</si>
  <si>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</si>
  <si>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</si>
  <si>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</si>
  <si>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</si>
  <si>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</si>
  <si>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</si>
  <si>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</si>
  <si>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</si>
  <si>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</si>
  <si>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</si>
  <si>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</si>
  <si>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</si>
  <si>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</si>
  <si>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</si>
  <si>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</si>
  <si>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</si>
  <si>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</si>
  <si>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</si>
  <si>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</si>
  <si>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</si>
  <si>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</si>
  <si>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</si>
  <si>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</si>
  <si>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</si>
  <si>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</si>
  <si>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</si>
  <si>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</si>
  <si>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</si>
  <si>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</si>
  <si>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</si>
  <si>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</si>
  <si>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</si>
  <si>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</si>
  <si>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</si>
  <si>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</si>
  <si>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</si>
  <si>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</si>
  <si>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</si>
  <si>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</si>
  <si>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</si>
  <si>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</si>
  <si>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</si>
  <si>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</si>
  <si>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</si>
  <si>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</si>
  <si>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</si>
  <si>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</si>
  <si>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</si>
  <si>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</si>
  <si>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</si>
  <si>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</si>
  <si>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</si>
  <si>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</si>
  <si>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</si>
  <si>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</si>
  <si>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</si>
  <si>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</si>
  <si>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</si>
  <si>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</si>
  <si>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</si>
  <si>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</si>
  <si>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</si>
  <si>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</si>
  <si>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</si>
  <si>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</si>
  <si>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</si>
  <si>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</si>
  <si>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</si>
  <si>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</si>
  <si>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</si>
  <si>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</si>
  <si>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</si>
  <si>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</si>
  <si>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</si>
  <si>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</si>
  <si>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</si>
  <si>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</si>
  <si>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</si>
  <si>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</si>
  <si>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</si>
  <si>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</si>
  <si>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</si>
  <si>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</si>
  <si>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</si>
  <si>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</si>
  <si>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</si>
  <si>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</si>
  <si>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</si>
  <si>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</si>
  <si>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</si>
  <si>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</si>
  <si>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</si>
  <si>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</si>
  <si>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</si>
  <si>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</si>
  <si>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</si>
  <si>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</si>
  <si>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</si>
  <si>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</si>
  <si>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</si>
  <si>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</si>
  <si>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</si>
  <si>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</si>
  <si>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</si>
  <si>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</si>
  <si>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</si>
  <si>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</si>
  <si>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</si>
  <si>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</si>
  <si>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</si>
  <si>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</si>
  <si>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</si>
  <si>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</si>
  <si>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</si>
  <si>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</si>
  <si>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</si>
  <si>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</si>
  <si>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</si>
  <si>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</si>
  <si>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</si>
  <si>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</si>
  <si>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</si>
  <si>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</si>
  <si>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</si>
  <si>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</si>
  <si>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</si>
  <si>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</si>
  <si>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</si>
  <si>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</si>
  <si>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</si>
  <si>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</si>
  <si>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</si>
  <si>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</si>
  <si>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</si>
  <si>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</si>
  <si>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</si>
  <si>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</si>
  <si>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</si>
  <si>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</si>
  <si>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</si>
  <si>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</si>
  <si>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</si>
  <si>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</si>
  <si>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</si>
  <si>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</si>
  <si>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</si>
  <si>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</si>
  <si>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</si>
  <si>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</si>
  <si>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</si>
  <si>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</si>
  <si>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</si>
  <si>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</si>
  <si>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</si>
  <si>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</si>
  <si>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</si>
  <si>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</si>
  <si>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</si>
  <si>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</si>
  <si>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</si>
  <si>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</si>
  <si>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</si>
  <si>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</si>
  <si>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</si>
  <si>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</si>
  <si>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</si>
  <si>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</si>
  <si>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</si>
  <si>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</si>
  <si>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</si>
  <si>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</si>
  <si>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</si>
  <si>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</si>
  <si>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</si>
  <si>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</si>
  <si>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</si>
  <si>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</si>
  <si>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</si>
  <si>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</si>
  <si>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</si>
  <si>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</si>
  <si>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</si>
  <si>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</si>
  <si>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</si>
  <si>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</si>
  <si>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</si>
  <si>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</si>
  <si>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</si>
  <si>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</si>
  <si>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</si>
  <si>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</si>
  <si>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</si>
  <si>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</si>
  <si>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</si>
  <si>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</si>
  <si>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</si>
  <si>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</si>
  <si>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</si>
  <si>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</si>
  <si>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</si>
  <si>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</si>
  <si>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</si>
  <si>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</si>
  <si>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</si>
  <si>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</si>
  <si>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</si>
  <si>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</si>
  <si>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</si>
  <si>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</si>
  <si>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</si>
  <si>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</si>
  <si>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</si>
  <si>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</si>
  <si>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</si>
  <si>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</si>
  <si>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</si>
  <si>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</si>
  <si>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</si>
  <si>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</si>
  <si>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</si>
  <si>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</si>
  <si>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</si>
  <si>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</si>
  <si>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</si>
  <si>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</si>
  <si>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</si>
  <si>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</si>
  <si>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</si>
  <si>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</si>
  <si>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</si>
  <si>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</si>
  <si>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</si>
  <si>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</si>
  <si>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</si>
  <si>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</si>
  <si>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</si>
  <si>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</si>
  <si>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</si>
  <si>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</si>
  <si>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</si>
  <si>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</si>
  <si>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</si>
  <si>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</si>
  <si>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</si>
  <si>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</si>
  <si>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</si>
  <si>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</si>
  <si>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</si>
  <si>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</si>
  <si>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</si>
  <si>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</si>
  <si>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</si>
  <si>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</si>
  <si>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</si>
  <si>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</si>
  <si>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</si>
  <si>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</si>
  <si>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</si>
  <si>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</si>
  <si>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</si>
  <si>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</si>
  <si>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</si>
  <si>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</si>
  <si>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</si>
  <si>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</si>
  <si>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</si>
  <si>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</si>
  <si>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</si>
  <si>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</si>
  <si>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September, 2020</t>
  </si>
  <si>
    <t>44104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</si>
  <si>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</si>
  <si>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</si>
  <si>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</si>
  <si>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</si>
  <si>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</si>
  <si>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</si>
  <si>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</si>
  <si>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</si>
  <si>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</si>
  <si>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</si>
  <si>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</si>
  <si>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</si>
  <si>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</si>
  <si>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</si>
  <si>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 SERV FED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</si>
  <si>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</si>
  <si>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</si>
  <si>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</si>
  <si>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</si>
  <si>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</si>
  <si>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</si>
  <si>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</si>
  <si>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</si>
  <si>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</si>
  <si>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</si>
  <si>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</si>
  <si>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</si>
  <si>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</si>
  <si>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</si>
  <si>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</si>
  <si>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</si>
  <si>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</si>
  <si>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</si>
  <si>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</si>
  <si>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</si>
  <si>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</si>
  <si>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</si>
  <si>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</si>
  <si>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</si>
  <si>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</si>
  <si>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</si>
  <si>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</si>
  <si>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</si>
  <si>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</si>
  <si>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</si>
  <si>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</si>
  <si>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</si>
  <si>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</si>
  <si>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</si>
  <si>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</si>
  <si>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</si>
  <si>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</si>
  <si>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</si>
  <si>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</si>
  <si>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</si>
  <si>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</si>
  <si>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</si>
  <si>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</si>
  <si>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</si>
  <si>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</si>
  <si>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</si>
  <si>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</si>
  <si>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</si>
  <si>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</si>
  <si>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</si>
  <si>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</si>
  <si>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</si>
  <si>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</si>
  <si>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</si>
  <si>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</si>
  <si>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</si>
  <si>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</si>
  <si>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</si>
  <si>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</si>
  <si>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</si>
  <si>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</si>
  <si>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</si>
  <si>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</si>
  <si>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</si>
  <si>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</si>
  <si>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</si>
  <si>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</si>
  <si>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</si>
  <si>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</si>
  <si>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</si>
  <si>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</si>
  <si>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</si>
  <si>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</si>
  <si>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</si>
  <si>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</si>
  <si>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</si>
  <si>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</si>
  <si>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</si>
  <si>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0146</t>
  </si>
  <si>
    <t>VICTIMS OF CRIME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</si>
  <si>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</si>
  <si>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</si>
  <si>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</si>
  <si>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</si>
  <si>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</si>
  <si>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</si>
  <si>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</si>
  <si>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</si>
  <si>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</si>
  <si>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</si>
  <si>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</si>
  <si>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</si>
  <si>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</si>
  <si>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</si>
  <si>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</si>
  <si>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</si>
  <si>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</si>
  <si>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</si>
  <si>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</si>
  <si>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</si>
  <si>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</si>
  <si>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</si>
  <si>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</si>
  <si>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</si>
  <si>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</si>
  <si>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</si>
  <si>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</si>
  <si>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</si>
  <si>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</si>
  <si>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</si>
  <si>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</si>
  <si>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</si>
  <si>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</si>
  <si>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</si>
  <si>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</si>
  <si>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</si>
  <si>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</si>
  <si>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</si>
  <si>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</si>
  <si>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</si>
  <si>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</si>
  <si>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</si>
  <si>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</si>
  <si>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</si>
  <si>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</si>
  <si>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</si>
  <si>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</si>
  <si>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</si>
  <si>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</si>
  <si>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</si>
  <si>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</si>
  <si>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</si>
  <si>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</si>
  <si>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</si>
  <si>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</si>
  <si>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</si>
  <si>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</si>
  <si>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</si>
  <si>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</si>
  <si>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</si>
  <si>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</si>
  <si>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</si>
  <si>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</si>
  <si>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</si>
  <si>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</si>
  <si>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</si>
  <si>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</si>
  <si>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</si>
  <si>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</si>
  <si>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</si>
  <si>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</si>
  <si>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</si>
  <si>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</si>
  <si>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</si>
  <si>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</si>
  <si>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</si>
  <si>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</si>
  <si>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</si>
  <si>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</si>
  <si>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</si>
  <si>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</si>
  <si>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</si>
  <si>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</si>
  <si>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</si>
  <si>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</si>
  <si>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</si>
  <si>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</si>
  <si>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</si>
  <si>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</si>
  <si>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</si>
  <si>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</si>
  <si>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</si>
  <si>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</si>
  <si>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</si>
  <si>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</si>
  <si>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</si>
  <si>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</si>
  <si>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</si>
  <si>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</si>
  <si>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</si>
  <si>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</si>
  <si>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</si>
  <si>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</si>
  <si>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</si>
  <si>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</si>
  <si>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</si>
  <si>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</si>
  <si>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</si>
  <si>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</si>
  <si>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</si>
  <si>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</si>
  <si>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</si>
  <si>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</si>
  <si>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</si>
  <si>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</si>
  <si>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</si>
  <si>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</si>
  <si>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</si>
  <si>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</si>
  <si>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</si>
  <si>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</si>
  <si>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</si>
  <si>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</si>
  <si>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</si>
  <si>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</si>
  <si>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</si>
  <si>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</si>
  <si>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</si>
  <si>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</si>
  <si>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</si>
  <si>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</si>
  <si>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</si>
  <si>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</si>
  <si>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</si>
  <si>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</si>
  <si>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</si>
  <si>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</si>
  <si>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</si>
  <si>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</si>
  <si>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</si>
  <si>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</si>
  <si>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</si>
  <si>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</si>
  <si>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</si>
  <si>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</si>
  <si>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</si>
  <si>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</si>
  <si>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</si>
  <si>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</si>
  <si>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</si>
  <si>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</si>
  <si>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</si>
  <si>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</si>
  <si>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</si>
  <si>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</si>
  <si>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</si>
  <si>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</si>
  <si>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</si>
  <si>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</si>
  <si>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</si>
  <si>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</si>
  <si>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</si>
  <si>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</si>
  <si>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</si>
  <si>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</si>
  <si>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</si>
  <si>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</si>
  <si>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</si>
  <si>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</si>
  <si>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</si>
  <si>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</si>
  <si>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</si>
  <si>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</si>
  <si>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</si>
  <si>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</si>
  <si>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</si>
  <si>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</si>
  <si>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</si>
  <si>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</si>
  <si>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</si>
  <si>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</si>
  <si>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</si>
  <si>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</si>
  <si>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</si>
  <si>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</si>
  <si>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</si>
  <si>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</si>
  <si>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</si>
  <si>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</si>
  <si>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</si>
  <si>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</si>
  <si>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</si>
  <si>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</si>
  <si>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</si>
  <si>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</si>
  <si>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</si>
  <si>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</si>
  <si>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</si>
  <si>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</si>
  <si>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</si>
  <si>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</si>
  <si>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</si>
  <si>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</si>
  <si>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</si>
  <si>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</si>
  <si>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</si>
  <si>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</si>
  <si>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</si>
  <si>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</si>
  <si>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</si>
  <si>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</si>
  <si>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</si>
  <si>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</si>
  <si>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</si>
  <si>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</si>
  <si>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</si>
  <si>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</si>
  <si>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</si>
  <si>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</si>
  <si>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</si>
  <si>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</si>
  <si>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</si>
  <si>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</si>
  <si>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</si>
  <si>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</si>
  <si>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</si>
  <si>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</si>
  <si>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</si>
  <si>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</si>
  <si>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</si>
  <si>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</si>
  <si>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</si>
  <si>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</si>
  <si>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</si>
  <si>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</si>
  <si>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</si>
  <si>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</si>
  <si>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</si>
  <si>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</si>
  <si>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</si>
  <si>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</si>
  <si>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</si>
  <si>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</si>
  <si>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</si>
  <si>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</si>
  <si>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</si>
  <si>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</si>
  <si>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</si>
  <si>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</si>
  <si>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</si>
  <si>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</si>
  <si>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</si>
  <si>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</si>
  <si>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</si>
  <si>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</si>
  <si>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</si>
  <si>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</si>
  <si>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</si>
  <si>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</si>
  <si>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</si>
  <si>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</si>
  <si>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</si>
  <si>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</si>
  <si>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</si>
  <si>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</si>
  <si>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</si>
  <si>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</si>
  <si>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</si>
  <si>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</si>
  <si>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</si>
  <si>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</si>
  <si>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</si>
  <si>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</si>
  <si>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</si>
  <si>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</si>
  <si>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</si>
  <si>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</si>
  <si>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</si>
  <si>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</si>
  <si>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</si>
  <si>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</si>
  <si>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</si>
  <si>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</si>
  <si>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</si>
  <si>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</si>
  <si>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</si>
  <si>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</si>
  <si>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</si>
  <si>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</si>
  <si>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</si>
  <si>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</si>
  <si>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</si>
  <si>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</si>
  <si>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</si>
  <si>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</si>
  <si>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</si>
  <si>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</si>
  <si>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</si>
  <si>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</si>
  <si>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</si>
  <si>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</si>
  <si>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</si>
  <si>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</si>
  <si>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</si>
  <si>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</si>
  <si>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</si>
  <si>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</si>
  <si>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</si>
  <si>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</si>
  <si>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</si>
  <si>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</si>
  <si>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</si>
  <si>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</si>
  <si>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</si>
  <si>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</si>
  <si>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</si>
  <si>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</si>
  <si>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</si>
  <si>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</si>
  <si>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</si>
  <si>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</si>
  <si>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</si>
  <si>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</si>
  <si>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</si>
  <si>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</si>
  <si>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</si>
  <si>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</si>
  <si>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</si>
  <si>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</si>
  <si>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</si>
  <si>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</si>
  <si>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</si>
  <si>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</si>
  <si>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</si>
  <si>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</si>
  <si>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</si>
  <si>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</si>
  <si>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</si>
  <si>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</si>
  <si>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</si>
  <si>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</si>
  <si>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</si>
  <si>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</si>
  <si>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</si>
  <si>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</si>
  <si>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</si>
  <si>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</si>
  <si>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</si>
  <si>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</si>
  <si>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</si>
  <si>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</si>
  <si>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</si>
  <si>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</si>
  <si>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</si>
  <si>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</si>
  <si>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</si>
  <si>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</si>
  <si>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</si>
  <si>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</si>
  <si>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</si>
  <si>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</si>
  <si>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</si>
  <si>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</si>
  <si>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</si>
  <si>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</si>
  <si>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</si>
  <si>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</si>
  <si>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</si>
  <si>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</si>
  <si>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</si>
  <si>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</si>
  <si>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</si>
  <si>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</si>
  <si>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</si>
  <si>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</si>
  <si>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</si>
  <si>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</si>
  <si>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</si>
  <si>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</si>
  <si>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</si>
  <si>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</si>
  <si>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</si>
  <si>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</si>
  <si>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</si>
  <si>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</si>
  <si>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</si>
  <si>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</si>
  <si>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</si>
  <si>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</si>
  <si>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</si>
  <si>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</si>
  <si>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</si>
  <si>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</si>
  <si>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</si>
  <si>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</si>
  <si>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</si>
  <si>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</si>
  <si>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</si>
  <si>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</si>
  <si>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</si>
  <si>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</si>
  <si>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</si>
  <si>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</si>
  <si>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</si>
  <si>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</si>
  <si>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</si>
  <si>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</si>
  <si>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</si>
  <si>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</si>
  <si>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</si>
  <si>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</si>
  <si>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</si>
  <si>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</si>
  <si>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</si>
  <si>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</si>
  <si>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</si>
  <si>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</si>
  <si>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</si>
  <si>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</si>
  <si>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</si>
  <si>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</si>
  <si>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</si>
  <si>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</si>
  <si>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</si>
  <si>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</si>
  <si>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</si>
  <si>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</si>
  <si>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</si>
  <si>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</si>
  <si>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</si>
  <si>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</si>
  <si>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</si>
  <si>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</si>
  <si>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</si>
  <si>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</si>
  <si>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</si>
  <si>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</si>
  <si>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</si>
  <si>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</si>
  <si>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</si>
  <si>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</si>
  <si>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</si>
  <si>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</si>
  <si>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</si>
  <si>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</si>
  <si>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</si>
  <si>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</si>
  <si>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</si>
  <si>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</si>
  <si>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</si>
  <si>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</si>
  <si>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</si>
  <si>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</si>
  <si>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</si>
  <si>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</si>
  <si>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</si>
  <si>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</si>
  <si>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</si>
  <si>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</si>
  <si>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</si>
  <si>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</si>
  <si>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</si>
  <si>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</si>
  <si>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</si>
  <si>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</si>
  <si>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</si>
  <si>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</si>
  <si>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</si>
  <si>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</si>
  <si>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</si>
  <si>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</si>
  <si>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</si>
  <si>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</si>
  <si>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</si>
  <si>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</si>
  <si>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</si>
  <si>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</si>
  <si>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</si>
  <si>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</si>
  <si>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</si>
  <si>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</si>
  <si>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</si>
  <si>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</si>
  <si>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</si>
  <si>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</si>
  <si>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</si>
  <si>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</si>
  <si>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</si>
  <si>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</si>
  <si>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</si>
  <si>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</si>
  <si>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</si>
  <si>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</si>
  <si>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</si>
  <si>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</si>
  <si>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</si>
  <si>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</si>
  <si>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</si>
  <si>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</si>
  <si>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</si>
  <si>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</si>
  <si>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</si>
  <si>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</si>
  <si>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</si>
  <si>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</si>
  <si>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</si>
  <si>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</si>
  <si>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</si>
  <si>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</si>
  <si>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</si>
  <si>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</si>
  <si>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</si>
  <si>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</si>
  <si>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</si>
  <si>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</si>
  <si>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</si>
  <si>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</si>
  <si>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</si>
  <si>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</si>
  <si>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</si>
  <si>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</si>
  <si>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</si>
  <si>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</si>
  <si>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</si>
  <si>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</si>
  <si>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</si>
  <si>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</si>
  <si>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</si>
  <si>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</si>
  <si>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</si>
  <si>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</si>
  <si>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</si>
  <si>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</si>
  <si>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</si>
  <si>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</si>
  <si>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</si>
  <si>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</si>
  <si>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</si>
  <si>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</si>
  <si>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</si>
  <si>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</si>
  <si>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</si>
  <si>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</si>
  <si>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</si>
  <si>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</si>
  <si>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</si>
  <si>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</si>
  <si>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</si>
  <si>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</si>
  <si>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</si>
  <si>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</si>
  <si>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</si>
  <si>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</si>
  <si>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</si>
  <si>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</si>
  <si>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</si>
  <si>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</si>
  <si>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</si>
  <si>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</si>
  <si>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</si>
  <si>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</si>
  <si>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</si>
  <si>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</si>
  <si>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</si>
  <si>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</si>
  <si>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</si>
  <si>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</si>
  <si>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</si>
  <si>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</si>
  <si>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</si>
  <si>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</si>
  <si>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</si>
  <si>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</si>
  <si>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</si>
  <si>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</si>
  <si>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</si>
  <si>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</si>
  <si>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</si>
  <si>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</si>
  <si>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</si>
  <si>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</si>
  <si>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</si>
  <si>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</si>
  <si>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</si>
  <si>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</si>
  <si>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</si>
  <si>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</si>
  <si>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</si>
  <si>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</si>
  <si>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</si>
  <si>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</si>
  <si>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</si>
  <si>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</si>
  <si>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</si>
  <si>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</si>
  <si>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</si>
  <si>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</si>
  <si>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</si>
  <si>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</si>
  <si>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</si>
  <si>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</si>
  <si>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</si>
  <si>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</si>
  <si>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</si>
  <si>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</si>
  <si>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</si>
  <si>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</si>
  <si>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</si>
  <si>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</si>
  <si>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</si>
  <si>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</si>
  <si>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</si>
  <si>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</si>
  <si>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</si>
  <si>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</si>
  <si>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</si>
  <si>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</si>
  <si>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</si>
  <si>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</si>
  <si>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</si>
  <si>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</si>
  <si>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</si>
  <si>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</si>
  <si>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</si>
  <si>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</si>
  <si>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</si>
  <si>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</si>
  <si>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</si>
  <si>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</si>
  <si>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</si>
  <si>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</si>
  <si>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</si>
  <si>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</si>
  <si>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</si>
  <si>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</si>
  <si>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</si>
  <si>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</si>
  <si>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</si>
  <si>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</si>
  <si>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</si>
  <si>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</si>
  <si>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</si>
  <si>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</si>
  <si>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</si>
  <si>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</si>
  <si>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</si>
  <si>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</si>
  <si>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</si>
  <si>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</si>
  <si>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</si>
  <si>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</si>
  <si>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</si>
  <si>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</si>
  <si>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</si>
  <si>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</si>
  <si>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</si>
  <si>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</si>
  <si>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</si>
  <si>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</si>
  <si>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</si>
  <si>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</si>
  <si>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</si>
  <si>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</si>
  <si>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</si>
  <si>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</si>
  <si>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</si>
  <si>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</si>
  <si>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</si>
  <si>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</si>
  <si>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</si>
  <si>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</si>
  <si>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</si>
  <si>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</si>
  <si>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</si>
  <si>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</si>
  <si>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</si>
  <si>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</si>
  <si>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</si>
  <si>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</si>
  <si>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</si>
  <si>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</si>
  <si>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</si>
  <si>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</si>
  <si>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</si>
  <si>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</si>
  <si>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</si>
  <si>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</si>
  <si>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</si>
  <si>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</si>
  <si>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</si>
  <si>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</si>
  <si>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</si>
  <si>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</si>
  <si>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</si>
  <si>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</si>
  <si>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</si>
  <si>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</si>
  <si>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</si>
  <si>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</si>
  <si>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</si>
  <si>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</si>
  <si>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</si>
  <si>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</si>
  <si>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</si>
  <si>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</si>
  <si>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</si>
  <si>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</si>
  <si>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</si>
  <si>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</si>
  <si>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</si>
  <si>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</si>
  <si>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</si>
  <si>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</si>
  <si>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</si>
  <si>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</si>
  <si>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</si>
  <si>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</si>
  <si>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</si>
  <si>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</si>
  <si>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</si>
  <si>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</si>
  <si>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</si>
  <si>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</si>
  <si>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</si>
  <si>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</si>
  <si>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</si>
  <si>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</si>
  <si>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</si>
  <si>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</si>
  <si>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</si>
  <si>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</si>
  <si>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</si>
  <si>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</si>
  <si>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</si>
  <si>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</si>
  <si>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</si>
  <si>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</si>
  <si>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</si>
  <si>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</si>
  <si>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</si>
  <si>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</si>
  <si>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</si>
  <si>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</si>
  <si>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</si>
  <si>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</si>
  <si>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</si>
  <si>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</si>
  <si>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</si>
  <si>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</si>
  <si>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</si>
  <si>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</si>
  <si>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</si>
  <si>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</si>
  <si>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</si>
  <si>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</si>
  <si>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</si>
  <si>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</si>
  <si>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</si>
  <si>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</si>
  <si>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</si>
  <si>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</si>
  <si>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</si>
  <si>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</si>
  <si>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</si>
  <si>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</si>
  <si>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</si>
  <si>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</si>
  <si>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</si>
  <si>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</si>
  <si>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</si>
  <si>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</si>
  <si>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</si>
  <si>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</si>
  <si>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</si>
  <si>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</si>
  <si>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</si>
  <si>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</si>
  <si>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</si>
  <si>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</si>
  <si>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</si>
  <si>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</si>
  <si>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</si>
  <si>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</si>
  <si>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</si>
  <si>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</si>
  <si>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</si>
  <si>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</si>
  <si>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</si>
  <si>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</si>
  <si>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</si>
  <si>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</si>
  <si>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</si>
  <si>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</si>
  <si>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</si>
  <si>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</si>
  <si>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</si>
  <si>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</si>
  <si>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</si>
  <si>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</si>
  <si>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</si>
  <si>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</si>
  <si>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</si>
  <si>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</si>
  <si>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</si>
  <si>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</si>
  <si>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</si>
  <si>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</si>
  <si>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</si>
  <si>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</si>
  <si>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</si>
  <si>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</si>
  <si>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</si>
  <si>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</si>
  <si>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</si>
  <si>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</si>
  <si>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</si>
  <si>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</si>
  <si>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</si>
  <si>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</si>
  <si>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</si>
  <si>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</si>
  <si>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</si>
  <si>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</si>
  <si>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</si>
  <si>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</si>
  <si>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</si>
  <si>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</si>
  <si>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</si>
  <si>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</si>
  <si>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</si>
  <si>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</si>
  <si>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</si>
  <si>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</si>
  <si>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</si>
  <si>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</si>
  <si>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</si>
  <si>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</si>
  <si>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</si>
  <si>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</si>
  <si>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</si>
  <si>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</si>
  <si>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</si>
  <si>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</si>
  <si>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</si>
  <si>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</si>
  <si>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</si>
  <si>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</si>
  <si>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</si>
  <si>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</si>
  <si>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</si>
  <si>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</si>
  <si>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</si>
  <si>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</si>
  <si>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</si>
  <si>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</si>
  <si>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</si>
  <si>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</si>
  <si>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</si>
  <si>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</si>
  <si>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</si>
  <si>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</si>
  <si>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</si>
  <si>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</si>
  <si>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</si>
  <si>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</si>
  <si>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</si>
  <si>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</si>
  <si>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</si>
  <si>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</si>
  <si>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</si>
  <si>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</si>
  <si>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</si>
  <si>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</si>
  <si>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</si>
  <si>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</si>
  <si>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</si>
  <si>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</si>
  <si>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</si>
  <si>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</si>
  <si>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</si>
  <si>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</si>
  <si>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</si>
  <si>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</si>
  <si>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</si>
  <si>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</si>
  <si>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</si>
  <si>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</si>
  <si>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</si>
  <si>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</si>
  <si>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</si>
  <si>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</si>
  <si>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</si>
  <si>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</si>
  <si>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</si>
  <si>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</si>
  <si>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</si>
  <si>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</si>
  <si>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</si>
  <si>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</si>
  <si>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</si>
  <si>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</si>
  <si>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</si>
  <si>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</si>
  <si>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</si>
  <si>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</si>
  <si>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</si>
  <si>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</si>
  <si>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</si>
  <si>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</si>
  <si>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</si>
  <si>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</si>
  <si>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</si>
  <si>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</si>
  <si>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</si>
  <si>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</si>
  <si>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</si>
  <si>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</si>
  <si>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</si>
  <si>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</si>
  <si>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</si>
  <si>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</si>
  <si>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</si>
  <si>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</si>
  <si>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</si>
  <si>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</si>
  <si>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</si>
  <si>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</si>
  <si>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</si>
  <si>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</si>
  <si>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</si>
  <si>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</si>
  <si>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</si>
  <si>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</si>
  <si>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</si>
  <si>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</si>
  <si>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</si>
  <si>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</si>
  <si>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</si>
  <si>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</si>
  <si>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</si>
  <si>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</si>
  <si>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</si>
  <si>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</si>
  <si>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</si>
  <si>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</si>
  <si>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</si>
  <si>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</si>
  <si>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</si>
  <si>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</si>
  <si>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</si>
  <si>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</si>
  <si>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</si>
  <si>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</si>
  <si>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</si>
  <si>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</si>
  <si>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</si>
  <si>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</si>
  <si>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</si>
  <si>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</si>
  <si>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</si>
  <si>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</si>
  <si>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</si>
  <si>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</si>
  <si>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</si>
  <si>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</si>
  <si>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</si>
  <si>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</si>
  <si>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</si>
  <si>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</si>
  <si>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</si>
  <si>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</si>
  <si>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</si>
  <si>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</si>
  <si>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</si>
  <si>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</si>
  <si>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</si>
  <si>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</si>
  <si>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</si>
  <si>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</si>
  <si>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</si>
  <si>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</si>
  <si>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</si>
  <si>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</si>
  <si>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</si>
  <si>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</si>
  <si>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</si>
  <si>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</si>
  <si>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</si>
  <si>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</si>
  <si>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</si>
  <si>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</si>
  <si>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</si>
  <si>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</si>
  <si>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</si>
  <si>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</si>
  <si>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</si>
  <si>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</si>
  <si>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</si>
  <si>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</si>
  <si>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</si>
  <si>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</si>
  <si>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</si>
  <si>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</si>
  <si>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</si>
  <si>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</si>
  <si>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</si>
  <si>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</si>
  <si>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</si>
  <si>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</si>
  <si>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</si>
  <si>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</si>
  <si>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</si>
  <si>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</si>
  <si>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</si>
  <si>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</si>
  <si>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</si>
  <si>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</si>
  <si>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</si>
  <si>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</si>
  <si>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</si>
  <si>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</si>
  <si>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</si>
  <si>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</si>
  <si>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</si>
  <si>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</si>
  <si>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</si>
  <si>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</si>
  <si>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</si>
  <si>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</si>
  <si>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</si>
  <si>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</si>
  <si>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</si>
  <si>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</si>
  <si>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</si>
  <si>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</si>
  <si>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</si>
  <si>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</si>
  <si>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</si>
  <si>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</si>
  <si>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</si>
  <si>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</si>
  <si>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</si>
  <si>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</si>
  <si>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</si>
  <si>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</si>
  <si>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</si>
  <si>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</si>
  <si>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</si>
  <si>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</si>
  <si>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</si>
  <si>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</si>
  <si>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</si>
  <si>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</si>
  <si>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</si>
  <si>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</si>
  <si>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</si>
  <si>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</si>
  <si>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</si>
  <si>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</si>
  <si>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</si>
  <si>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</si>
  <si>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</si>
  <si>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</si>
  <si>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</si>
  <si>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</si>
  <si>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</si>
  <si>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</si>
  <si>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</si>
  <si>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</si>
  <si>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</si>
  <si>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</si>
  <si>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</si>
  <si>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</si>
  <si>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</si>
  <si>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</si>
  <si>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</si>
  <si>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</si>
  <si>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</si>
  <si>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</si>
  <si>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</si>
  <si>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</si>
  <si>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</si>
  <si>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</si>
  <si>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</si>
  <si>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</si>
  <si>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</si>
  <si>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</si>
  <si>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</si>
  <si>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</si>
  <si>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</si>
  <si>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</si>
  <si>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</si>
  <si>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</si>
  <si>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</si>
  <si>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</si>
  <si>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</si>
  <si>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</si>
  <si>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</si>
  <si>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</si>
  <si>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</si>
  <si>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</si>
  <si>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</si>
  <si>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</si>
  <si>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</si>
  <si>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</si>
  <si>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</si>
  <si>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</si>
  <si>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</si>
  <si>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</si>
  <si>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</si>
  <si>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</si>
  <si>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</si>
  <si>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</si>
  <si>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</si>
  <si>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</si>
  <si>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</si>
  <si>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</si>
  <si>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</si>
  <si>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</si>
  <si>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</si>
  <si>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</si>
  <si>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</si>
  <si>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</si>
  <si>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</si>
  <si>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</si>
  <si>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</si>
  <si>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</si>
  <si>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</si>
  <si>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</si>
  <si>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</si>
  <si>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</si>
  <si>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</si>
  <si>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</si>
  <si>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</si>
  <si>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</si>
  <si>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</si>
  <si>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</si>
  <si>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</si>
  <si>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</si>
  <si>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</si>
  <si>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</si>
  <si>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</si>
  <si>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</si>
  <si>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</si>
  <si>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</si>
  <si>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</si>
  <si>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</si>
  <si>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</si>
  <si>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</si>
  <si>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</si>
  <si>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</si>
  <si>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</si>
  <si>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</si>
  <si>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</si>
  <si>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</si>
  <si>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</si>
  <si>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</si>
  <si>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</si>
  <si>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</si>
  <si>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</si>
  <si>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</si>
  <si>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</si>
  <si>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</si>
  <si>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</si>
  <si>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</si>
  <si>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</si>
  <si>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</si>
  <si>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</si>
  <si>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</si>
  <si>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</si>
  <si>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</si>
  <si>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</si>
  <si>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</si>
  <si>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</si>
  <si>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</si>
  <si>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</si>
  <si>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</si>
  <si>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</si>
  <si>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</si>
  <si>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</si>
  <si>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</si>
  <si>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</si>
  <si>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</si>
  <si>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</si>
  <si>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</si>
  <si>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</si>
  <si>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</si>
  <si>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</si>
  <si>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</si>
  <si>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</si>
  <si>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</si>
  <si>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</si>
  <si>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</si>
  <si>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</si>
  <si>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</si>
  <si>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</si>
  <si>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</si>
  <si>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</si>
  <si>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</si>
  <si>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</si>
  <si>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</si>
  <si>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</si>
  <si>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</si>
  <si>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</si>
  <si>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</si>
  <si>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</si>
  <si>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</si>
  <si>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</si>
  <si>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</si>
  <si>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</si>
  <si>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</si>
  <si>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</si>
  <si>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</si>
  <si>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</si>
  <si>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</si>
  <si>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</si>
  <si>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</si>
  <si>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</si>
  <si>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</si>
  <si>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</si>
  <si>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</si>
  <si>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</si>
  <si>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</si>
  <si>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</si>
  <si>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</si>
  <si>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</si>
  <si>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</si>
  <si>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</si>
  <si>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</si>
  <si>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</si>
  <si>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</si>
  <si>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</si>
  <si>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</si>
  <si>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</si>
  <si>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</si>
  <si>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</si>
  <si>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</si>
  <si>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</si>
  <si>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</si>
  <si>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</si>
  <si>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</si>
  <si>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</si>
  <si>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</si>
  <si>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</si>
  <si>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</si>
  <si>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</si>
  <si>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</si>
  <si>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</si>
  <si>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</si>
  <si>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</si>
  <si>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</si>
  <si>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</si>
  <si>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</si>
  <si>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</si>
  <si>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</si>
  <si>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</si>
  <si>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</si>
  <si>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</si>
  <si>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</si>
  <si>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</si>
  <si>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</si>
  <si>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</si>
  <si>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</si>
  <si>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</si>
  <si>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</si>
  <si>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</si>
  <si>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</si>
  <si>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</si>
  <si>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</si>
  <si>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</si>
  <si>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</si>
  <si>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</si>
  <si>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</si>
  <si>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</si>
  <si>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</si>
  <si>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</si>
  <si>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</si>
  <si>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</si>
  <si>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</si>
  <si>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</si>
  <si>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</si>
  <si>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</si>
  <si>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</si>
  <si>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</si>
  <si>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</si>
  <si>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</si>
  <si>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</si>
  <si>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</si>
  <si>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</si>
  <si>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</si>
  <si>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</si>
  <si>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</si>
  <si>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</si>
  <si>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</si>
  <si>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</si>
  <si>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</si>
  <si>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</si>
  <si>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</si>
  <si>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</si>
  <si>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</si>
  <si>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</si>
  <si>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</si>
  <si>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</si>
  <si>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</si>
  <si>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</si>
  <si>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</si>
  <si>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</si>
  <si>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</si>
  <si>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</si>
  <si>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</si>
  <si>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</si>
  <si>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</si>
  <si>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</si>
  <si>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</si>
  <si>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</si>
  <si>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</si>
  <si>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</si>
  <si>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</si>
  <si>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</si>
  <si>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</si>
  <si>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</si>
  <si>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</si>
  <si>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</si>
  <si>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</si>
  <si>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</si>
  <si>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</si>
  <si>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</si>
  <si>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</si>
  <si>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</si>
  <si>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</si>
  <si>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</si>
  <si>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</si>
  <si>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</si>
  <si>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</si>
  <si>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</si>
  <si>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</si>
  <si>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</si>
  <si>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</si>
  <si>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</si>
  <si>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</si>
  <si>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</si>
  <si>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</si>
  <si>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</si>
  <si>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</si>
  <si>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</si>
  <si>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</si>
  <si>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</si>
  <si>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</si>
  <si>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</si>
  <si>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</si>
  <si>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</si>
  <si>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</si>
  <si>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</si>
  <si>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</si>
  <si>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</si>
  <si>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</si>
  <si>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</si>
  <si>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</si>
  <si>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</si>
  <si>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</si>
  <si>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</si>
  <si>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</si>
  <si>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</si>
  <si>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</si>
  <si>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</si>
  <si>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</si>
  <si>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</si>
  <si>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</si>
  <si>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</si>
  <si>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</si>
  <si>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</si>
  <si>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</si>
  <si>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</si>
  <si>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</si>
  <si>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</si>
  <si>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</si>
  <si>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</si>
  <si>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</si>
  <si>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</si>
  <si>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</si>
  <si>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</si>
  <si>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</si>
  <si>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</si>
  <si>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</si>
  <si>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</si>
  <si>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</si>
  <si>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</si>
  <si>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</si>
  <si>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</si>
  <si>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</si>
  <si>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</si>
  <si>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</si>
  <si>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</si>
  <si>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</si>
  <si>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</si>
  <si>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</si>
  <si>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</si>
  <si>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</si>
  <si>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</si>
  <si>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</si>
  <si>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</si>
  <si>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</si>
  <si>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</si>
  <si>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</si>
  <si>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</si>
  <si>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</si>
  <si>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</si>
  <si>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</si>
  <si>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</si>
  <si>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</si>
  <si>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</si>
  <si>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</si>
  <si>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</si>
  <si>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</si>
  <si>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</si>
  <si>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</si>
  <si>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</si>
  <si>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</si>
  <si>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</si>
  <si>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</si>
  <si>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</si>
  <si>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</si>
  <si>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</si>
  <si>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</si>
  <si>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</si>
  <si>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</si>
  <si>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</si>
  <si>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</si>
  <si>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</si>
  <si>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0163*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</si>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</sst>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44075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09/01/2020..09/30/2020</v>
      </c>
    </row>
    <row r="6" spans="1:12" x14ac:dyDescent="0.25">
      <c r="C6" t="s">
        <v>4</v>
      </c>
      <c r="D6" s="3">
        <v>44104</v>
      </c>
      <c r="K6" s="2">
        <v>44074</v>
      </c>
      <c r="L6" t="str">
        <f>TEXT(PrevStartDate,"mm/dd/yyyy")&amp;".."&amp;TEXT(PrevEndDate,"mm/dd/yyyy")</f>
        <v>07/01/2009..08/31/2020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3"/>
  <sheetViews>
    <sheetView tabSelected="1" topLeftCell="D2" zoomScaleNormal="100" workbookViewId="0">
      <selection activeCell="E471" sqref="E471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710937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10751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44104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10652</v>
      </c>
      <c r="D12" t="s">
        <v>10753</v>
      </c>
      <c r="E12" t="s">
        <v>10754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10755</v>
      </c>
      <c r="E13" s="16" t="s">
        <v>10756</v>
      </c>
      <c r="F13" s="18">
        <v>602017274.54999995</v>
      </c>
      <c r="G13" s="18">
        <v>294366.66000000003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602311641.21000004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12276</v>
      </c>
      <c r="E14" s="16" t="s">
        <v>10757</v>
      </c>
      <c r="F14" s="18">
        <v>1611304254.5599999</v>
      </c>
      <c r="G14" s="18">
        <v>980704063.76999998</v>
      </c>
      <c r="H14" s="18">
        <v>531545075.93000001</v>
      </c>
      <c r="I14" s="18">
        <v>102569858.66999999</v>
      </c>
      <c r="J14" s="18">
        <v>387484161.18000001</v>
      </c>
      <c r="K14" s="18">
        <v>16152.819999999998</v>
      </c>
      <c r="L14" s="18">
        <v>7671749.1799999997</v>
      </c>
      <c r="M14" s="20">
        <v>1767893343.53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10758</v>
      </c>
      <c r="E15" s="16" t="s">
        <v>10759</v>
      </c>
      <c r="F15" s="18">
        <v>159409.75</v>
      </c>
      <c r="G15" s="18">
        <v>11170226.58</v>
      </c>
      <c r="H15" s="18">
        <v>8342029.6699999999</v>
      </c>
      <c r="I15" s="18">
        <v>0</v>
      </c>
      <c r="J15" s="18">
        <v>1427271.56</v>
      </c>
      <c r="K15" s="18">
        <v>44.22</v>
      </c>
      <c r="L15" s="18">
        <v>151758.85</v>
      </c>
      <c r="M15" s="20">
        <v>1408620.47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10760</v>
      </c>
      <c r="E16" s="16" t="s">
        <v>10761</v>
      </c>
      <c r="F16" s="18">
        <v>12277024.24</v>
      </c>
      <c r="G16" s="18">
        <v>31962766.719999999</v>
      </c>
      <c r="H16" s="18">
        <v>30143931</v>
      </c>
      <c r="I16" s="18">
        <v>0</v>
      </c>
      <c r="J16" s="18">
        <v>368393.88</v>
      </c>
      <c r="K16" s="18">
        <v>116803.51000000001</v>
      </c>
      <c r="L16" s="18">
        <v>224881.94</v>
      </c>
      <c r="M16" s="20">
        <v>13619387.65</v>
      </c>
      <c r="N16" s="20"/>
      <c r="O16" s="19"/>
    </row>
    <row r="17" spans="1:15" s="16" customFormat="1" hidden="1" x14ac:dyDescent="0.25">
      <c r="A17" s="16" t="s">
        <v>51</v>
      </c>
      <c r="B17" s="16" t="str">
        <f t="shared" si="0"/>
        <v>hide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10762</v>
      </c>
      <c r="E17" s="16" t="s">
        <v>10763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10764</v>
      </c>
      <c r="E18" s="16" t="s">
        <v>10765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10766</v>
      </c>
      <c r="E19" s="16" t="s">
        <v>10767</v>
      </c>
      <c r="F19" s="18">
        <v>72321.33</v>
      </c>
      <c r="G19" s="18">
        <v>175</v>
      </c>
      <c r="H19" s="18">
        <v>44412.54</v>
      </c>
      <c r="I19" s="18">
        <v>0</v>
      </c>
      <c r="J19" s="18">
        <v>11122.52</v>
      </c>
      <c r="K19" s="18">
        <v>59713.899999999994</v>
      </c>
      <c r="L19" s="18">
        <v>2044</v>
      </c>
      <c r="M19" s="20">
        <v>74631.17</v>
      </c>
      <c r="N19" s="20"/>
      <c r="O19" s="19"/>
    </row>
    <row r="20" spans="1:15" s="16" customFormat="1" hidden="1" x14ac:dyDescent="0.25">
      <c r="A20" s="16" t="s">
        <v>51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10768</v>
      </c>
      <c r="E20" s="16" t="s">
        <v>10769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10770</v>
      </c>
      <c r="E21" s="16" t="s">
        <v>10771</v>
      </c>
      <c r="F21" s="18">
        <v>5547731.3999999994</v>
      </c>
      <c r="G21" s="18">
        <v>0</v>
      </c>
      <c r="H21" s="18">
        <v>4447731.4000000004</v>
      </c>
      <c r="I21" s="18">
        <v>0</v>
      </c>
      <c r="J21" s="18">
        <v>0</v>
      </c>
      <c r="K21" s="18">
        <v>0</v>
      </c>
      <c r="L21" s="18">
        <v>0</v>
      </c>
      <c r="M21" s="20">
        <v>1100000</v>
      </c>
      <c r="N21" s="20"/>
      <c r="O21" s="19"/>
    </row>
    <row r="22" spans="1:15" s="16" customFormat="1" x14ac:dyDescent="0.25">
      <c r="A22" s="16" t="s">
        <v>51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10772</v>
      </c>
      <c r="E22" s="16" t="s">
        <v>10773</v>
      </c>
      <c r="F22" s="18">
        <v>503953.61</v>
      </c>
      <c r="G22" s="18">
        <v>534.36</v>
      </c>
      <c r="H22" s="18">
        <v>719388.5</v>
      </c>
      <c r="I22" s="18">
        <v>0</v>
      </c>
      <c r="J22" s="18">
        <v>0</v>
      </c>
      <c r="K22" s="18">
        <v>452677.05</v>
      </c>
      <c r="L22" s="18">
        <v>0</v>
      </c>
      <c r="M22" s="20">
        <v>237776.52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10774</v>
      </c>
      <c r="E23" s="16" t="s">
        <v>10775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10776</v>
      </c>
      <c r="E24" s="16" t="s">
        <v>10777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10778</v>
      </c>
      <c r="E25" s="16" t="s">
        <v>10779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10780</v>
      </c>
      <c r="E26" s="16" t="s">
        <v>10781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10782</v>
      </c>
      <c r="E27" s="16" t="s">
        <v>10783</v>
      </c>
      <c r="F27" s="18">
        <v>424443.29</v>
      </c>
      <c r="G27" s="18">
        <v>17669852.120000001</v>
      </c>
      <c r="H27" s="18">
        <v>17121007.100000001</v>
      </c>
      <c r="I27" s="18">
        <v>0</v>
      </c>
      <c r="J27" s="18">
        <v>-4012.13</v>
      </c>
      <c r="K27" s="18">
        <v>0</v>
      </c>
      <c r="L27" s="18">
        <v>30.96</v>
      </c>
      <c r="M27" s="20">
        <v>977269.48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10784</v>
      </c>
      <c r="E28" s="16" t="s">
        <v>10785</v>
      </c>
      <c r="F28" s="18">
        <v>529968.03999999992</v>
      </c>
      <c r="G28" s="18">
        <v>0</v>
      </c>
      <c r="H28" s="18">
        <v>99784.560000000012</v>
      </c>
      <c r="I28" s="18">
        <v>0</v>
      </c>
      <c r="J28" s="18">
        <v>50587.78</v>
      </c>
      <c r="K28" s="18">
        <v>0</v>
      </c>
      <c r="L28" s="18">
        <v>607.95000000000005</v>
      </c>
      <c r="M28" s="20">
        <v>378987.75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10786</v>
      </c>
      <c r="E29" s="16" t="s">
        <v>10787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10788</v>
      </c>
      <c r="E30" s="16" t="s">
        <v>10789</v>
      </c>
      <c r="F30" s="18">
        <v>839644.11</v>
      </c>
      <c r="G30" s="18">
        <v>195.44000000000003</v>
      </c>
      <c r="H30" s="18">
        <v>48976.000000000007</v>
      </c>
      <c r="I30" s="18">
        <v>0</v>
      </c>
      <c r="J30" s="18">
        <v>28613.42</v>
      </c>
      <c r="K30" s="18">
        <v>0</v>
      </c>
      <c r="L30" s="18">
        <v>5244.88</v>
      </c>
      <c r="M30" s="20">
        <v>757005.25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10790</v>
      </c>
      <c r="E31" s="16" t="s">
        <v>10791</v>
      </c>
      <c r="F31" s="18">
        <v>2604590.98</v>
      </c>
      <c r="G31" s="18">
        <v>1826254.25</v>
      </c>
      <c r="H31" s="18">
        <v>1826254.25</v>
      </c>
      <c r="I31" s="18">
        <v>0</v>
      </c>
      <c r="J31" s="18">
        <v>0</v>
      </c>
      <c r="K31" s="18">
        <v>0</v>
      </c>
      <c r="L31" s="18">
        <v>0</v>
      </c>
      <c r="M31" s="20">
        <v>2604590.98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10792</v>
      </c>
      <c r="E32" s="16" t="s">
        <v>10793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10794</v>
      </c>
      <c r="E33" s="16" t="s">
        <v>10795</v>
      </c>
      <c r="F33" s="18">
        <v>1217359.24</v>
      </c>
      <c r="G33" s="18">
        <v>589121.84</v>
      </c>
      <c r="H33" s="18">
        <v>310957.98</v>
      </c>
      <c r="I33" s="18">
        <v>0</v>
      </c>
      <c r="J33" s="18">
        <v>47604.58</v>
      </c>
      <c r="K33" s="18">
        <v>21.78</v>
      </c>
      <c r="L33" s="18">
        <v>33411.870000000003</v>
      </c>
      <c r="M33" s="20">
        <v>1414528.43</v>
      </c>
      <c r="N33" s="20"/>
      <c r="O33" s="19"/>
    </row>
    <row r="34" spans="1:15" s="16" customFormat="1" hidden="1" x14ac:dyDescent="0.25">
      <c r="A34" s="16" t="s">
        <v>51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10796</v>
      </c>
      <c r="E34" s="16" t="s">
        <v>10797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10798</v>
      </c>
      <c r="E35" s="16" t="s">
        <v>10799</v>
      </c>
      <c r="F35" s="18">
        <v>957785.42999999993</v>
      </c>
      <c r="G35" s="18">
        <v>5.69</v>
      </c>
      <c r="H35" s="18">
        <v>398991.69</v>
      </c>
      <c r="I35" s="18">
        <v>65200</v>
      </c>
      <c r="J35" s="18">
        <v>202818.53</v>
      </c>
      <c r="K35" s="18">
        <v>0</v>
      </c>
      <c r="L35" s="18">
        <v>147971.21</v>
      </c>
      <c r="M35" s="20">
        <v>273209.69</v>
      </c>
      <c r="N35" s="20"/>
      <c r="O35" s="19"/>
    </row>
    <row r="36" spans="1:15" s="16" customFormat="1" x14ac:dyDescent="0.25">
      <c r="A36" s="16" t="s">
        <v>51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10800</v>
      </c>
      <c r="E36" s="16" t="s">
        <v>10801</v>
      </c>
      <c r="F36" s="18">
        <v>12702.949999999999</v>
      </c>
      <c r="G36" s="18">
        <v>126069.81</v>
      </c>
      <c r="H36" s="18">
        <v>72511.48</v>
      </c>
      <c r="I36" s="18">
        <v>0</v>
      </c>
      <c r="J36" s="18">
        <v>42691.29</v>
      </c>
      <c r="K36" s="18">
        <v>0</v>
      </c>
      <c r="L36" s="18">
        <v>7831.8200000000006</v>
      </c>
      <c r="M36" s="20">
        <v>15738.17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10802</v>
      </c>
      <c r="E37" s="16" t="s">
        <v>10803</v>
      </c>
      <c r="F37" s="18">
        <v>54892668.690000005</v>
      </c>
      <c r="G37" s="18">
        <v>33322.149999999994</v>
      </c>
      <c r="H37" s="18">
        <v>1536061.94</v>
      </c>
      <c r="I37" s="18">
        <v>0</v>
      </c>
      <c r="J37" s="18">
        <v>0</v>
      </c>
      <c r="K37" s="18">
        <v>0</v>
      </c>
      <c r="L37" s="18">
        <v>9300</v>
      </c>
      <c r="M37" s="20">
        <v>53380628.899999999</v>
      </c>
      <c r="N37" s="20"/>
      <c r="O37" s="19"/>
    </row>
    <row r="38" spans="1:15" s="16" customFormat="1" hidden="1" x14ac:dyDescent="0.25">
      <c r="A38" s="16" t="s">
        <v>51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10804</v>
      </c>
      <c r="E38" s="16" t="s">
        <v>10805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10806</v>
      </c>
      <c r="E39" s="16" t="s">
        <v>10807</v>
      </c>
      <c r="F39" s="18">
        <v>2244005.64</v>
      </c>
      <c r="G39" s="18">
        <v>8030533.1999999993</v>
      </c>
      <c r="H39" s="18">
        <v>8091480.5599999996</v>
      </c>
      <c r="I39" s="18">
        <v>0</v>
      </c>
      <c r="J39" s="18">
        <v>1697.8500000000001</v>
      </c>
      <c r="K39" s="18">
        <v>0</v>
      </c>
      <c r="L39" s="18">
        <v>432.93999999999994</v>
      </c>
      <c r="M39" s="20">
        <v>2180927.4900000002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10808</v>
      </c>
      <c r="E40" s="16" t="s">
        <v>10809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10810</v>
      </c>
      <c r="E41" s="16" t="s">
        <v>10811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10812</v>
      </c>
      <c r="E42" s="16" t="s">
        <v>10813</v>
      </c>
      <c r="F42" s="18">
        <v>211466.14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229577.55999999997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10814</v>
      </c>
      <c r="E43" s="16" t="s">
        <v>10815</v>
      </c>
      <c r="F43" s="18">
        <v>625377.56000000006</v>
      </c>
      <c r="G43" s="18">
        <v>0</v>
      </c>
      <c r="H43" s="18">
        <v>127346.95000000001</v>
      </c>
      <c r="I43" s="18">
        <v>0</v>
      </c>
      <c r="J43" s="18">
        <v>67308.45</v>
      </c>
      <c r="K43" s="18">
        <v>326366.08999999997</v>
      </c>
      <c r="L43" s="18">
        <v>207.38</v>
      </c>
      <c r="M43" s="20">
        <v>756880.87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10816</v>
      </c>
      <c r="E44" s="16" t="s">
        <v>10817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10818</v>
      </c>
      <c r="E45" s="16" t="s">
        <v>10819</v>
      </c>
      <c r="F45" s="18">
        <v>3144866.0500000003</v>
      </c>
      <c r="G45" s="18">
        <v>0</v>
      </c>
      <c r="H45" s="18">
        <v>150706.96</v>
      </c>
      <c r="I45" s="18">
        <v>5975</v>
      </c>
      <c r="J45" s="18">
        <v>5844.59</v>
      </c>
      <c r="K45" s="18">
        <v>30479.62</v>
      </c>
      <c r="L45" s="18">
        <v>0</v>
      </c>
      <c r="M45" s="20">
        <v>3024769.12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10820</v>
      </c>
      <c r="E46" s="16" t="s">
        <v>10821</v>
      </c>
      <c r="F46" s="18">
        <v>1958306.5100000002</v>
      </c>
      <c r="G46" s="18">
        <v>91611.29</v>
      </c>
      <c r="H46" s="18">
        <v>217254.22999999998</v>
      </c>
      <c r="I46" s="18">
        <v>0</v>
      </c>
      <c r="J46" s="18">
        <v>77818.95</v>
      </c>
      <c r="K46" s="18">
        <v>0</v>
      </c>
      <c r="L46" s="18">
        <v>17680.02</v>
      </c>
      <c r="M46" s="20">
        <v>1737164.5999999999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10822</v>
      </c>
      <c r="E47" s="16" t="s">
        <v>10823</v>
      </c>
      <c r="F47" s="18">
        <v>945.87</v>
      </c>
      <c r="G47" s="18">
        <v>3.26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949.12999999999988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10824</v>
      </c>
      <c r="E48" s="16" t="s">
        <v>10825</v>
      </c>
      <c r="F48" s="18">
        <v>2614677.6</v>
      </c>
      <c r="G48" s="18">
        <v>18586</v>
      </c>
      <c r="H48" s="18">
        <v>1590890.4100000001</v>
      </c>
      <c r="I48" s="18">
        <v>0</v>
      </c>
      <c r="J48" s="18">
        <v>6299.22</v>
      </c>
      <c r="K48" s="18">
        <v>0</v>
      </c>
      <c r="L48" s="18">
        <v>41.12</v>
      </c>
      <c r="M48" s="20">
        <v>1036032.85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10826</v>
      </c>
      <c r="E49" s="16" t="s">
        <v>10827</v>
      </c>
      <c r="F49" s="18">
        <v>809972.41</v>
      </c>
      <c r="G49" s="18">
        <v>484509.99</v>
      </c>
      <c r="H49" s="18">
        <v>319731.76999999996</v>
      </c>
      <c r="I49" s="18">
        <v>0</v>
      </c>
      <c r="J49" s="18">
        <v>119121.95</v>
      </c>
      <c r="K49" s="18">
        <v>0</v>
      </c>
      <c r="L49" s="18">
        <v>12593.239999999998</v>
      </c>
      <c r="M49" s="20">
        <v>843035.44000000006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10828</v>
      </c>
      <c r="E50" s="16" t="s">
        <v>10829</v>
      </c>
      <c r="F50" s="18">
        <v>1787597.0999999999</v>
      </c>
      <c r="G50" s="18">
        <v>170818.14</v>
      </c>
      <c r="H50" s="18">
        <v>421033.35000000003</v>
      </c>
      <c r="I50" s="18">
        <v>0</v>
      </c>
      <c r="J50" s="18">
        <v>149976.79</v>
      </c>
      <c r="K50" s="18">
        <v>46368.92</v>
      </c>
      <c r="L50" s="18">
        <v>30927.18</v>
      </c>
      <c r="M50" s="20">
        <v>1402846.84</v>
      </c>
      <c r="N50" s="20"/>
      <c r="O50" s="19"/>
    </row>
    <row r="51" spans="1:15" s="16" customFormat="1" x14ac:dyDescent="0.25">
      <c r="A51" s="16" t="s">
        <v>51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10830</v>
      </c>
      <c r="E51" s="16" t="s">
        <v>10831</v>
      </c>
      <c r="F51" s="18">
        <v>58200</v>
      </c>
      <c r="G51" s="18">
        <v>0</v>
      </c>
      <c r="H51" s="18">
        <v>36264.36</v>
      </c>
      <c r="I51" s="18">
        <v>0</v>
      </c>
      <c r="J51" s="18">
        <v>21780.51</v>
      </c>
      <c r="K51" s="18">
        <v>0</v>
      </c>
      <c r="L51" s="18">
        <v>0</v>
      </c>
      <c r="M51" s="20">
        <v>155.13</v>
      </c>
      <c r="N51" s="20"/>
      <c r="O51" s="19"/>
    </row>
    <row r="52" spans="1:15" s="16" customFormat="1" x14ac:dyDescent="0.25">
      <c r="A52" s="16" t="s">
        <v>51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10832</v>
      </c>
      <c r="E52" s="16" t="s">
        <v>10833</v>
      </c>
      <c r="F52" s="18">
        <v>999.86999999999989</v>
      </c>
      <c r="G52" s="18">
        <v>1546081</v>
      </c>
      <c r="H52" s="18">
        <v>16001196.849999998</v>
      </c>
      <c r="I52" s="18">
        <v>14640094.810000001</v>
      </c>
      <c r="J52" s="18">
        <v>184978.96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10834</v>
      </c>
      <c r="E53" s="16" t="s">
        <v>10835</v>
      </c>
      <c r="F53" s="18">
        <v>11621477.110000001</v>
      </c>
      <c r="G53" s="18">
        <v>4067673.79</v>
      </c>
      <c r="H53" s="18">
        <v>2775619.1100000003</v>
      </c>
      <c r="I53" s="18">
        <v>0</v>
      </c>
      <c r="J53" s="18">
        <v>827706.73</v>
      </c>
      <c r="K53" s="18">
        <v>1428.77</v>
      </c>
      <c r="L53" s="18">
        <v>95785.13</v>
      </c>
      <c r="M53" s="20">
        <v>11991468.700000001</v>
      </c>
      <c r="N53" s="20"/>
      <c r="O53" s="19"/>
    </row>
    <row r="54" spans="1:15" s="16" customFormat="1" hidden="1" x14ac:dyDescent="0.25">
      <c r="A54" s="16" t="s">
        <v>51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10836</v>
      </c>
      <c r="E54" s="16" t="s">
        <v>10837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10838</v>
      </c>
      <c r="E55" s="16" t="s">
        <v>10839</v>
      </c>
      <c r="F55" s="18">
        <v>79218761.959999993</v>
      </c>
      <c r="G55" s="18">
        <v>176934721.69</v>
      </c>
      <c r="H55" s="18">
        <v>174612600.55000001</v>
      </c>
      <c r="I55" s="18">
        <v>68837277</v>
      </c>
      <c r="J55" s="18">
        <v>68837277</v>
      </c>
      <c r="K55" s="18">
        <v>0</v>
      </c>
      <c r="L55" s="18">
        <v>0</v>
      </c>
      <c r="M55" s="20">
        <v>81540883.099999994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10840</v>
      </c>
      <c r="E56" s="16" t="s">
        <v>10841</v>
      </c>
      <c r="F56" s="18">
        <v>27989460.18</v>
      </c>
      <c r="G56" s="18">
        <v>77473754.74000001</v>
      </c>
      <c r="H56" s="18">
        <v>71709582.480000004</v>
      </c>
      <c r="I56" s="18">
        <v>0</v>
      </c>
      <c r="J56" s="18">
        <v>2326857.04</v>
      </c>
      <c r="K56" s="18">
        <v>32400.02</v>
      </c>
      <c r="L56" s="18">
        <v>180208.09</v>
      </c>
      <c r="M56" s="20">
        <v>31278967.329999998</v>
      </c>
      <c r="N56" s="20"/>
      <c r="O56" s="19"/>
    </row>
    <row r="57" spans="1:15" s="16" customFormat="1" x14ac:dyDescent="0.25">
      <c r="A57" s="16" t="s">
        <v>51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10842</v>
      </c>
      <c r="E57" s="16" t="s">
        <v>10843</v>
      </c>
      <c r="F57" s="18">
        <v>7840389.7700000005</v>
      </c>
      <c r="G57" s="18">
        <v>15112483.23</v>
      </c>
      <c r="H57" s="18">
        <v>12206844.680000002</v>
      </c>
      <c r="I57" s="18">
        <v>3135707.0000000005</v>
      </c>
      <c r="J57" s="18">
        <v>3135707.0000000005</v>
      </c>
      <c r="K57" s="18">
        <v>0</v>
      </c>
      <c r="L57" s="18">
        <v>0</v>
      </c>
      <c r="M57" s="20">
        <v>10746028.32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10844</v>
      </c>
      <c r="E58" s="16" t="s">
        <v>10845</v>
      </c>
      <c r="F58" s="18">
        <v>4779129.8500000006</v>
      </c>
      <c r="G58" s="18">
        <v>1988800.37</v>
      </c>
      <c r="H58" s="18">
        <v>1500394.19</v>
      </c>
      <c r="I58" s="18">
        <v>0</v>
      </c>
      <c r="J58" s="18">
        <v>106140.54999999999</v>
      </c>
      <c r="K58" s="18">
        <v>0</v>
      </c>
      <c r="L58" s="18">
        <v>81807.849999999991</v>
      </c>
      <c r="M58" s="20">
        <v>5079587.63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10846</v>
      </c>
      <c r="E59" s="16" t="s">
        <v>10847</v>
      </c>
      <c r="F59" s="18">
        <v>1023031.2100000001</v>
      </c>
      <c r="G59" s="18">
        <v>4474192.25</v>
      </c>
      <c r="H59" s="18">
        <v>4894251.4399999995</v>
      </c>
      <c r="I59" s="18">
        <v>0</v>
      </c>
      <c r="J59" s="18">
        <v>26135.35</v>
      </c>
      <c r="K59" s="18">
        <v>0</v>
      </c>
      <c r="L59" s="18">
        <v>6</v>
      </c>
      <c r="M59" s="20">
        <v>576830.66999999993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10848</v>
      </c>
      <c r="E60" s="16" t="s">
        <v>10849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10850</v>
      </c>
      <c r="E61" s="16" t="s">
        <v>10851</v>
      </c>
      <c r="F61" s="18">
        <v>43051514.07</v>
      </c>
      <c r="G61" s="18">
        <v>148339165.86000001</v>
      </c>
      <c r="H61" s="18">
        <v>125275591.2</v>
      </c>
      <c r="I61" s="18">
        <v>0</v>
      </c>
      <c r="J61" s="18">
        <v>17731502.600000001</v>
      </c>
      <c r="K61" s="18">
        <v>0</v>
      </c>
      <c r="L61" s="18">
        <v>144311.16</v>
      </c>
      <c r="M61" s="20">
        <v>48239274.969999999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10852</v>
      </c>
      <c r="E62" s="16" t="s">
        <v>10853</v>
      </c>
      <c r="F62" s="18">
        <v>759609.24</v>
      </c>
      <c r="G62" s="18">
        <v>1304418.55</v>
      </c>
      <c r="H62" s="18">
        <v>981274.24000000011</v>
      </c>
      <c r="I62" s="18">
        <v>0</v>
      </c>
      <c r="J62" s="18">
        <v>1583.5</v>
      </c>
      <c r="K62" s="18">
        <v>0</v>
      </c>
      <c r="L62" s="18">
        <v>195040.22000000003</v>
      </c>
      <c r="M62" s="20">
        <v>886129.83000000007</v>
      </c>
      <c r="N62" s="20"/>
      <c r="O62" s="19"/>
    </row>
    <row r="63" spans="1:15" s="16" customFormat="1" x14ac:dyDescent="0.25">
      <c r="A63" s="16" t="s">
        <v>51</v>
      </c>
      <c r="B63" s="16" t="str">
        <f t="shared" si="0"/>
        <v>show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10854</v>
      </c>
      <c r="E63" s="16" t="s">
        <v>10855</v>
      </c>
      <c r="F63" s="18">
        <v>0</v>
      </c>
      <c r="G63" s="18">
        <v>8560</v>
      </c>
      <c r="H63" s="18">
        <v>8560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10856</v>
      </c>
      <c r="E64" s="16" t="s">
        <v>10857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10858</v>
      </c>
      <c r="E65" s="16" t="s">
        <v>10859</v>
      </c>
      <c r="F65" s="18">
        <v>1863744.46</v>
      </c>
      <c r="G65" s="18">
        <v>1170562.21</v>
      </c>
      <c r="H65" s="18">
        <v>1466478.01</v>
      </c>
      <c r="I65" s="18">
        <v>0</v>
      </c>
      <c r="J65" s="18">
        <v>55781.82</v>
      </c>
      <c r="K65" s="18">
        <v>128363.23000000001</v>
      </c>
      <c r="L65" s="18">
        <v>110019.63</v>
      </c>
      <c r="M65" s="20">
        <v>1530390.44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10860</v>
      </c>
      <c r="E66" s="16" t="s">
        <v>10861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10862</v>
      </c>
      <c r="E67" s="16" t="s">
        <v>10863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10864</v>
      </c>
      <c r="E68" s="16" t="s">
        <v>10865</v>
      </c>
      <c r="F68" s="18">
        <v>464.98999999999995</v>
      </c>
      <c r="G68" s="18">
        <v>3769806.8099999996</v>
      </c>
      <c r="H68" s="18">
        <v>3166867.89</v>
      </c>
      <c r="I68" s="18">
        <v>0</v>
      </c>
      <c r="J68" s="18">
        <v>512102.83</v>
      </c>
      <c r="K68" s="18">
        <v>0</v>
      </c>
      <c r="L68" s="18">
        <v>89966.65</v>
      </c>
      <c r="M68" s="20">
        <v>1334.43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10866</v>
      </c>
      <c r="E69" s="16" t="s">
        <v>10867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10868</v>
      </c>
      <c r="E70" s="16" t="s">
        <v>10869</v>
      </c>
      <c r="F70" s="18">
        <v>21084793.289999999</v>
      </c>
      <c r="G70" s="18">
        <v>118220.15</v>
      </c>
      <c r="H70" s="18">
        <v>176516.78</v>
      </c>
      <c r="I70" s="18">
        <v>0</v>
      </c>
      <c r="J70" s="18">
        <v>12594.92</v>
      </c>
      <c r="K70" s="18">
        <v>0</v>
      </c>
      <c r="L70" s="18">
        <v>6300</v>
      </c>
      <c r="M70" s="20">
        <v>21007601.739999998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10870</v>
      </c>
      <c r="E71" s="16" t="s">
        <v>10871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10872</v>
      </c>
      <c r="E72" s="16" t="s">
        <v>10873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10874</v>
      </c>
      <c r="E73" s="16" t="s">
        <v>10875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10876</v>
      </c>
      <c r="E74" s="16" t="s">
        <v>10877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12277</v>
      </c>
      <c r="E75" s="16" t="s">
        <v>10878</v>
      </c>
      <c r="F75" s="18">
        <v>110050901.02</v>
      </c>
      <c r="G75" s="18">
        <v>461070602.33000004</v>
      </c>
      <c r="H75" s="18">
        <v>420141965.75</v>
      </c>
      <c r="I75" s="18">
        <v>0</v>
      </c>
      <c r="J75" s="18">
        <v>0</v>
      </c>
      <c r="K75" s="18">
        <v>58.04</v>
      </c>
      <c r="L75" s="18">
        <v>66028.740000000005</v>
      </c>
      <c r="M75" s="20">
        <v>150913566.90000001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10879</v>
      </c>
      <c r="E76" s="16" t="s">
        <v>10880</v>
      </c>
      <c r="F76" s="18">
        <v>1920464.4400000002</v>
      </c>
      <c r="G76" s="18">
        <v>168199.08</v>
      </c>
      <c r="H76" s="18">
        <v>143394.79999999999</v>
      </c>
      <c r="I76" s="18">
        <v>0</v>
      </c>
      <c r="J76" s="18">
        <v>73396.040000000008</v>
      </c>
      <c r="K76" s="18">
        <v>0</v>
      </c>
      <c r="L76" s="18">
        <v>6869.52</v>
      </c>
      <c r="M76" s="20">
        <v>1865003.16</v>
      </c>
      <c r="N76" s="20"/>
      <c r="O76" s="19"/>
    </row>
    <row r="77" spans="1:15" s="16" customFormat="1" x14ac:dyDescent="0.25">
      <c r="A77" s="16" t="s">
        <v>51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10881</v>
      </c>
      <c r="E77" s="16" t="s">
        <v>10882</v>
      </c>
      <c r="F77" s="18">
        <v>3706708.75</v>
      </c>
      <c r="G77" s="18">
        <v>7478822.7800000003</v>
      </c>
      <c r="H77" s="18">
        <v>2646913.06</v>
      </c>
      <c r="I77" s="18">
        <v>129999.99999999999</v>
      </c>
      <c r="J77" s="18">
        <v>371306.18</v>
      </c>
      <c r="K77" s="18">
        <v>940.34999999999991</v>
      </c>
      <c r="L77" s="18">
        <v>3779333.4</v>
      </c>
      <c r="M77" s="20">
        <v>4518919.24</v>
      </c>
      <c r="N77" s="20"/>
      <c r="O77" s="19"/>
    </row>
    <row r="78" spans="1:15" s="16" customFormat="1" hidden="1" x14ac:dyDescent="0.25">
      <c r="A78" s="16" t="s">
        <v>51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10883</v>
      </c>
      <c r="E78" s="16" t="s">
        <v>10884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10885</v>
      </c>
      <c r="E79" s="16" t="s">
        <v>10886</v>
      </c>
      <c r="F79" s="18">
        <v>950.74</v>
      </c>
      <c r="G79" s="18">
        <v>8323.91</v>
      </c>
      <c r="H79" s="18">
        <v>8323.91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10887</v>
      </c>
      <c r="E80" s="16" t="s">
        <v>10888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10889</v>
      </c>
      <c r="E81" s="16" t="s">
        <v>10890</v>
      </c>
      <c r="F81" s="18">
        <v>10363403.92</v>
      </c>
      <c r="G81" s="18">
        <v>654024.17000000004</v>
      </c>
      <c r="H81" s="18">
        <v>114276.77</v>
      </c>
      <c r="I81" s="18">
        <v>0</v>
      </c>
      <c r="J81" s="18">
        <v>20092.73</v>
      </c>
      <c r="K81" s="18">
        <v>0</v>
      </c>
      <c r="L81" s="18">
        <v>168.42</v>
      </c>
      <c r="M81" s="20">
        <v>10882890.17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10891</v>
      </c>
      <c r="E82" s="16" t="s">
        <v>10892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10893</v>
      </c>
      <c r="E83" s="16" t="s">
        <v>10894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10895</v>
      </c>
      <c r="E84" s="16" t="s">
        <v>10896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10897</v>
      </c>
      <c r="E85" s="16" t="s">
        <v>10898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tr">
        <f t="shared" si="1"/>
        <v>hide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10899</v>
      </c>
      <c r="E86" s="16" t="s">
        <v>10900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10901</v>
      </c>
      <c r="E87" s="16" t="s">
        <v>10902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10903</v>
      </c>
      <c r="E88" s="16" t="s">
        <v>10904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10905</v>
      </c>
      <c r="E89" s="16" t="s">
        <v>10906</v>
      </c>
      <c r="F89" s="18">
        <v>56450.359999999993</v>
      </c>
      <c r="G89" s="18">
        <v>36.58</v>
      </c>
      <c r="H89" s="18">
        <v>12500.000000000002</v>
      </c>
      <c r="I89" s="18">
        <v>0</v>
      </c>
      <c r="J89" s="18">
        <v>0</v>
      </c>
      <c r="K89" s="18">
        <v>0</v>
      </c>
      <c r="L89" s="18">
        <v>0</v>
      </c>
      <c r="M89" s="20">
        <v>43986.939999999995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10907</v>
      </c>
      <c r="E90" s="16" t="s">
        <v>10908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10909</v>
      </c>
      <c r="E91" s="16" t="s">
        <v>10910</v>
      </c>
      <c r="F91" s="18">
        <v>11639365.68</v>
      </c>
      <c r="G91" s="18">
        <v>3689.73</v>
      </c>
      <c r="H91" s="18">
        <v>-576.25</v>
      </c>
      <c r="I91" s="18">
        <v>0</v>
      </c>
      <c r="J91" s="18">
        <v>-315.44</v>
      </c>
      <c r="K91" s="18">
        <v>0</v>
      </c>
      <c r="L91" s="18">
        <v>0</v>
      </c>
      <c r="M91" s="20">
        <v>11643947.1</v>
      </c>
      <c r="N91" s="20"/>
      <c r="O91" s="19"/>
    </row>
    <row r="92" spans="1:15" s="16" customFormat="1" hidden="1" x14ac:dyDescent="0.25">
      <c r="A92" s="16" t="s">
        <v>51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10911</v>
      </c>
      <c r="E92" s="16" t="s">
        <v>10912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10913</v>
      </c>
      <c r="E93" s="16" t="s">
        <v>10914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hidden="1" x14ac:dyDescent="0.25">
      <c r="A94" s="16" t="s">
        <v>51</v>
      </c>
      <c r="B94" s="16" t="str">
        <f t="shared" si="1"/>
        <v>hide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10915</v>
      </c>
      <c r="E94" s="16" t="s">
        <v>10916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51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10917</v>
      </c>
      <c r="E95" s="16" t="s">
        <v>10918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10919</v>
      </c>
      <c r="E96" s="16" t="s">
        <v>10920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10921</v>
      </c>
      <c r="E97" s="16" t="s">
        <v>10922</v>
      </c>
      <c r="F97" s="18">
        <v>139582.65</v>
      </c>
      <c r="G97" s="18">
        <v>526576.75</v>
      </c>
      <c r="H97" s="18">
        <v>523433.79</v>
      </c>
      <c r="I97" s="18">
        <v>0</v>
      </c>
      <c r="J97" s="18">
        <v>0</v>
      </c>
      <c r="K97" s="18">
        <v>0</v>
      </c>
      <c r="L97" s="18">
        <v>44.24</v>
      </c>
      <c r="M97" s="20">
        <v>142681.37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10923</v>
      </c>
      <c r="E98" s="16" t="s">
        <v>10924</v>
      </c>
      <c r="F98" s="18">
        <v>53047.060000000005</v>
      </c>
      <c r="G98" s="18">
        <v>122887.33000000002</v>
      </c>
      <c r="H98" s="18">
        <v>73342.91</v>
      </c>
      <c r="I98" s="18">
        <v>2150</v>
      </c>
      <c r="J98" s="18">
        <v>41461.18</v>
      </c>
      <c r="K98" s="18">
        <v>0</v>
      </c>
      <c r="L98" s="18">
        <v>17719.22</v>
      </c>
      <c r="M98" s="20">
        <v>45561.08</v>
      </c>
      <c r="N98" s="20"/>
      <c r="O98" s="19"/>
    </row>
    <row r="99" spans="1:15" s="16" customFormat="1" hidden="1" x14ac:dyDescent="0.25">
      <c r="A99" s="16" t="s">
        <v>51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10925</v>
      </c>
      <c r="E99" s="16" t="s">
        <v>10926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10927</v>
      </c>
      <c r="E100" s="16" t="s">
        <v>10928</v>
      </c>
      <c r="F100" s="18">
        <v>68059.45</v>
      </c>
      <c r="G100" s="18">
        <v>98457.06</v>
      </c>
      <c r="H100" s="18">
        <v>78244.87000000001</v>
      </c>
      <c r="I100" s="18">
        <v>0</v>
      </c>
      <c r="J100" s="18">
        <v>8584.91</v>
      </c>
      <c r="K100" s="18">
        <v>0</v>
      </c>
      <c r="L100" s="18">
        <v>211.64999999999998</v>
      </c>
      <c r="M100" s="20">
        <v>79475.08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10929</v>
      </c>
      <c r="E101" s="16" t="s">
        <v>10930</v>
      </c>
      <c r="F101" s="18">
        <v>3579.7400000000002</v>
      </c>
      <c r="G101" s="18">
        <v>2836.05</v>
      </c>
      <c r="H101" s="18">
        <v>2836.05</v>
      </c>
      <c r="I101" s="18">
        <v>0</v>
      </c>
      <c r="J101" s="18">
        <v>0</v>
      </c>
      <c r="K101" s="18">
        <v>0</v>
      </c>
      <c r="L101" s="18">
        <v>0</v>
      </c>
      <c r="M101" s="20">
        <v>3579.7400000000002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10931</v>
      </c>
      <c r="E102" s="16" t="s">
        <v>10932</v>
      </c>
      <c r="F102" s="18">
        <v>2603871.66</v>
      </c>
      <c r="G102" s="18">
        <v>4634397.1900000004</v>
      </c>
      <c r="H102" s="18">
        <v>3143875.65</v>
      </c>
      <c r="I102" s="18">
        <v>0</v>
      </c>
      <c r="J102" s="18">
        <v>527611.26</v>
      </c>
      <c r="K102" s="18">
        <v>159802.71</v>
      </c>
      <c r="L102" s="18">
        <v>228883.28999999998</v>
      </c>
      <c r="M102" s="20">
        <v>3497701.3600000003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10933</v>
      </c>
      <c r="E103" s="16" t="s">
        <v>10934</v>
      </c>
      <c r="F103" s="18">
        <v>45.01</v>
      </c>
      <c r="G103" s="18">
        <v>245750.46</v>
      </c>
      <c r="H103" s="18">
        <v>240087.46999999997</v>
      </c>
      <c r="I103" s="18">
        <v>0</v>
      </c>
      <c r="J103" s="18">
        <v>0</v>
      </c>
      <c r="K103" s="18">
        <v>0</v>
      </c>
      <c r="L103" s="18">
        <v>0</v>
      </c>
      <c r="M103" s="20">
        <v>5708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10935</v>
      </c>
      <c r="E104" s="16" t="s">
        <v>10936</v>
      </c>
      <c r="F104" s="18">
        <v>6428.58</v>
      </c>
      <c r="G104" s="18">
        <v>128555.09000000001</v>
      </c>
      <c r="H104" s="18">
        <v>134031.28</v>
      </c>
      <c r="I104" s="18">
        <v>0</v>
      </c>
      <c r="J104" s="18">
        <v>0</v>
      </c>
      <c r="K104" s="18">
        <v>0</v>
      </c>
      <c r="L104" s="18">
        <v>0</v>
      </c>
      <c r="M104" s="20">
        <v>952.3900000000001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10937</v>
      </c>
      <c r="E105" s="16" t="s">
        <v>10938</v>
      </c>
      <c r="F105" s="18">
        <v>1260.3399999999999</v>
      </c>
      <c r="G105" s="18">
        <v>1066472.08</v>
      </c>
      <c r="H105" s="18">
        <v>803458.8</v>
      </c>
      <c r="I105" s="18">
        <v>0</v>
      </c>
      <c r="J105" s="18">
        <v>26722.11</v>
      </c>
      <c r="K105" s="18">
        <v>0</v>
      </c>
      <c r="L105" s="18">
        <v>4797.26</v>
      </c>
      <c r="M105" s="20">
        <v>232754.25000000003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10939</v>
      </c>
      <c r="E106" s="16" t="s">
        <v>10940</v>
      </c>
      <c r="F106" s="18">
        <v>1268934.22</v>
      </c>
      <c r="G106" s="18">
        <v>123496.26000000001</v>
      </c>
      <c r="H106" s="18">
        <v>3491.34</v>
      </c>
      <c r="I106" s="18">
        <v>0</v>
      </c>
      <c r="J106" s="18">
        <v>0</v>
      </c>
      <c r="K106" s="18">
        <v>12000</v>
      </c>
      <c r="L106" s="18">
        <v>0</v>
      </c>
      <c r="M106" s="20">
        <v>1400939.14</v>
      </c>
      <c r="N106" s="20"/>
      <c r="O106" s="19"/>
    </row>
    <row r="107" spans="1:15" s="16" customFormat="1" x14ac:dyDescent="0.25">
      <c r="A107" s="16" t="s">
        <v>51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10941</v>
      </c>
      <c r="E107" s="16" t="s">
        <v>10942</v>
      </c>
      <c r="F107" s="18">
        <v>163000.29999999999</v>
      </c>
      <c r="G107" s="18">
        <v>273462.52999999997</v>
      </c>
      <c r="H107" s="18">
        <v>215346.50000000003</v>
      </c>
      <c r="I107" s="18">
        <v>0</v>
      </c>
      <c r="J107" s="18">
        <v>12037.849999999999</v>
      </c>
      <c r="K107" s="18">
        <v>0</v>
      </c>
      <c r="L107" s="18">
        <v>1385.6599999999999</v>
      </c>
      <c r="M107" s="20">
        <v>207692.82</v>
      </c>
      <c r="N107" s="20"/>
      <c r="O107" s="19"/>
    </row>
    <row r="108" spans="1:15" s="16" customFormat="1" x14ac:dyDescent="0.25">
      <c r="A108" s="16" t="s">
        <v>51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10943</v>
      </c>
      <c r="E108" s="16" t="s">
        <v>10944</v>
      </c>
      <c r="F108" s="18">
        <v>15418491.33</v>
      </c>
      <c r="G108" s="18">
        <v>29481496.149999999</v>
      </c>
      <c r="H108" s="18">
        <v>28937011.150000002</v>
      </c>
      <c r="I108" s="18">
        <v>14597494</v>
      </c>
      <c r="J108" s="18">
        <v>14597494</v>
      </c>
      <c r="K108" s="18">
        <v>0</v>
      </c>
      <c r="L108" s="18">
        <v>0</v>
      </c>
      <c r="M108" s="20">
        <v>15962976.33</v>
      </c>
      <c r="N108" s="20"/>
      <c r="O108" s="19"/>
    </row>
    <row r="109" spans="1:15" s="16" customFormat="1" x14ac:dyDescent="0.25">
      <c r="A109" s="16" t="s">
        <v>51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10945</v>
      </c>
      <c r="E109" s="16" t="s">
        <v>10946</v>
      </c>
      <c r="F109" s="18">
        <v>23771.73</v>
      </c>
      <c r="G109" s="18">
        <v>189282.40000000002</v>
      </c>
      <c r="H109" s="18">
        <v>180557.88999999998</v>
      </c>
      <c r="I109" s="18">
        <v>0</v>
      </c>
      <c r="J109" s="18">
        <v>10334.199999999999</v>
      </c>
      <c r="K109" s="18">
        <v>0</v>
      </c>
      <c r="L109" s="18">
        <v>1052</v>
      </c>
      <c r="M109" s="20">
        <v>21110.039999999997</v>
      </c>
      <c r="N109" s="20"/>
      <c r="O109" s="19"/>
    </row>
    <row r="110" spans="1:15" s="16" customFormat="1" x14ac:dyDescent="0.25">
      <c r="A110" s="16" t="s">
        <v>51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10947</v>
      </c>
      <c r="E110" s="16" t="s">
        <v>10948</v>
      </c>
      <c r="F110" s="18">
        <v>427794.99</v>
      </c>
      <c r="G110" s="18">
        <v>200.21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427995.2</v>
      </c>
      <c r="N110" s="20"/>
      <c r="O110" s="19"/>
    </row>
    <row r="111" spans="1:15" s="16" customFormat="1" x14ac:dyDescent="0.25">
      <c r="A111" s="16" t="s">
        <v>51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12278</v>
      </c>
      <c r="E111" s="16" t="s">
        <v>10949</v>
      </c>
      <c r="F111" s="18">
        <v>64630656.109999999</v>
      </c>
      <c r="G111" s="18">
        <v>25816541.159999996</v>
      </c>
      <c r="H111" s="18">
        <v>14150537.85</v>
      </c>
      <c r="I111" s="18">
        <v>0</v>
      </c>
      <c r="J111" s="18">
        <v>3945938.2600000002</v>
      </c>
      <c r="K111" s="18">
        <v>515.85</v>
      </c>
      <c r="L111" s="18">
        <v>147849.42000000001</v>
      </c>
      <c r="M111" s="20">
        <v>72203387.590000004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10950</v>
      </c>
      <c r="E112" s="16" t="s">
        <v>10951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10952</v>
      </c>
      <c r="E113" s="16" t="s">
        <v>10953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10954</v>
      </c>
      <c r="E114" s="16" t="s">
        <v>10955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10956</v>
      </c>
      <c r="E115" s="16" t="s">
        <v>10957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10958</v>
      </c>
      <c r="E116" s="16" t="s">
        <v>10959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10960</v>
      </c>
      <c r="E117" s="16" t="s">
        <v>10961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10962</v>
      </c>
      <c r="E118" s="16" t="s">
        <v>10963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10964</v>
      </c>
      <c r="E119" s="16" t="s">
        <v>10965</v>
      </c>
      <c r="F119" s="18">
        <v>2062880.5100000002</v>
      </c>
      <c r="G119" s="18">
        <v>1467.8899999999999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2064348.4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10966</v>
      </c>
      <c r="E120" s="16" t="s">
        <v>10967</v>
      </c>
      <c r="F120" s="18">
        <v>2715619.2399999998</v>
      </c>
      <c r="G120" s="18">
        <v>0</v>
      </c>
      <c r="H120" s="18">
        <v>40000</v>
      </c>
      <c r="I120" s="18">
        <v>0</v>
      </c>
      <c r="J120" s="18">
        <v>0</v>
      </c>
      <c r="K120" s="18">
        <v>0</v>
      </c>
      <c r="L120" s="18">
        <v>0</v>
      </c>
      <c r="M120" s="20">
        <v>2675619.2399999998</v>
      </c>
      <c r="N120" s="20"/>
      <c r="O120" s="19"/>
    </row>
    <row r="121" spans="1:15" s="16" customFormat="1" hidden="1" x14ac:dyDescent="0.25">
      <c r="A121" s="16" t="s">
        <v>51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10968</v>
      </c>
      <c r="E121" s="16" t="s">
        <v>10969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10970</v>
      </c>
      <c r="E122" s="16" t="s">
        <v>10971</v>
      </c>
      <c r="F122" s="18">
        <v>9781038.0099999998</v>
      </c>
      <c r="G122" s="18">
        <v>6971.4199999999992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9788009.4299999997</v>
      </c>
      <c r="N122" s="20"/>
      <c r="O122" s="19"/>
    </row>
    <row r="123" spans="1:15" s="16" customFormat="1" x14ac:dyDescent="0.25">
      <c r="A123" s="16" t="s">
        <v>51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10972</v>
      </c>
      <c r="E123" s="16" t="s">
        <v>10973</v>
      </c>
      <c r="F123" s="18">
        <v>1087281.28</v>
      </c>
      <c r="G123" s="18">
        <v>774.98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1088056.26</v>
      </c>
      <c r="N123" s="20"/>
      <c r="O123" s="19"/>
    </row>
    <row r="124" spans="1:15" s="16" customFormat="1" x14ac:dyDescent="0.25">
      <c r="A124" s="16" t="s">
        <v>51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10974</v>
      </c>
      <c r="E124" s="16" t="s">
        <v>10975</v>
      </c>
      <c r="F124" s="18">
        <v>1816559.16</v>
      </c>
      <c r="G124" s="18">
        <v>1294.77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1817853.9300000002</v>
      </c>
      <c r="N124" s="20"/>
      <c r="O124" s="19"/>
    </row>
    <row r="125" spans="1:15" s="16" customFormat="1" x14ac:dyDescent="0.25">
      <c r="A125" s="16" t="s">
        <v>51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10976</v>
      </c>
      <c r="E125" s="16" t="s">
        <v>10977</v>
      </c>
      <c r="F125" s="18">
        <v>3230968.9699999997</v>
      </c>
      <c r="G125" s="18">
        <v>2379.2600000000002</v>
      </c>
      <c r="H125" s="18">
        <v>3075800</v>
      </c>
      <c r="I125" s="18">
        <v>2980681.46</v>
      </c>
      <c r="J125" s="18">
        <v>0</v>
      </c>
      <c r="K125" s="18">
        <v>0</v>
      </c>
      <c r="L125" s="18">
        <v>0</v>
      </c>
      <c r="M125" s="20">
        <v>3138229.6899999995</v>
      </c>
      <c r="N125" s="20"/>
      <c r="O125" s="19"/>
    </row>
    <row r="126" spans="1:15" s="16" customFormat="1" x14ac:dyDescent="0.25">
      <c r="A126" s="16" t="s">
        <v>51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10978</v>
      </c>
      <c r="E126" s="16" t="s">
        <v>10979</v>
      </c>
      <c r="F126" s="18">
        <v>40677.26</v>
      </c>
      <c r="G126" s="18">
        <v>40.93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40718.19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10980</v>
      </c>
      <c r="E127" s="16" t="s">
        <v>10981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10982</v>
      </c>
      <c r="E128" s="16" t="s">
        <v>10983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10984</v>
      </c>
      <c r="E129" s="16" t="s">
        <v>10985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10986</v>
      </c>
      <c r="E130" s="16" t="s">
        <v>10987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10988</v>
      </c>
      <c r="E131" s="16" t="s">
        <v>10989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10990</v>
      </c>
      <c r="E132" s="16" t="s">
        <v>10991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10992</v>
      </c>
      <c r="E133" s="16" t="s">
        <v>10993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10994</v>
      </c>
      <c r="E134" s="16" t="s">
        <v>10995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10996</v>
      </c>
      <c r="E135" s="16" t="s">
        <v>10997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10998</v>
      </c>
      <c r="E136" s="16" t="s">
        <v>10999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11000</v>
      </c>
      <c r="E137" s="16" t="s">
        <v>11001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11002</v>
      </c>
      <c r="E138" s="16" t="s">
        <v>11003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11004</v>
      </c>
      <c r="E139" s="16" t="s">
        <v>11005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11006</v>
      </c>
      <c r="E140" s="16" t="s">
        <v>11007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11008</v>
      </c>
      <c r="E141" s="16" t="s">
        <v>11009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11010</v>
      </c>
      <c r="E142" s="16" t="s">
        <v>11011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11012</v>
      </c>
      <c r="E143" s="16" t="s">
        <v>11013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11014</v>
      </c>
      <c r="E144" s="16" t="s">
        <v>11015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11016</v>
      </c>
      <c r="E145" s="16" t="s">
        <v>11017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11018</v>
      </c>
      <c r="E146" s="16" t="s">
        <v>11019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11020</v>
      </c>
      <c r="E147" s="16" t="s">
        <v>11021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11022</v>
      </c>
      <c r="E148" s="16" t="s">
        <v>11023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11024</v>
      </c>
      <c r="E149" s="16" t="s">
        <v>11025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11026</v>
      </c>
      <c r="E150" s="16" t="s">
        <v>11027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11028</v>
      </c>
      <c r="E151" s="16" t="s">
        <v>11029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11030</v>
      </c>
      <c r="E152" s="16" t="s">
        <v>11031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11032</v>
      </c>
      <c r="E153" s="16" t="s">
        <v>11033</v>
      </c>
      <c r="F153" s="18">
        <v>47548.29</v>
      </c>
      <c r="G153" s="18">
        <v>13996.52</v>
      </c>
      <c r="H153" s="18">
        <v>12696.640000000001</v>
      </c>
      <c r="I153" s="18">
        <v>0</v>
      </c>
      <c r="J153" s="18">
        <v>0</v>
      </c>
      <c r="K153" s="18">
        <v>0</v>
      </c>
      <c r="L153" s="18">
        <v>0</v>
      </c>
      <c r="M153" s="20">
        <v>48848.17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11034</v>
      </c>
      <c r="E154" s="16" t="s">
        <v>11035</v>
      </c>
      <c r="F154" s="18">
        <v>266974.24</v>
      </c>
      <c r="G154" s="18">
        <v>1890</v>
      </c>
      <c r="H154" s="18">
        <v>0</v>
      </c>
      <c r="I154" s="18">
        <v>0</v>
      </c>
      <c r="J154" s="18">
        <v>729.75</v>
      </c>
      <c r="K154" s="18">
        <v>0</v>
      </c>
      <c r="L154" s="18">
        <v>0</v>
      </c>
      <c r="M154" s="20">
        <v>268134.49</v>
      </c>
      <c r="N154" s="20"/>
      <c r="O154" s="19"/>
    </row>
    <row r="155" spans="1:15" s="16" customFormat="1" x14ac:dyDescent="0.25">
      <c r="A155" s="16" t="s">
        <v>51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11036</v>
      </c>
      <c r="E155" s="16" t="s">
        <v>11037</v>
      </c>
      <c r="F155" s="18">
        <v>805501.7699999999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805501.7699999999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11038</v>
      </c>
      <c r="E156" s="16" t="s">
        <v>11039</v>
      </c>
      <c r="F156" s="18">
        <v>84251.489999999991</v>
      </c>
      <c r="G156" s="18">
        <v>0</v>
      </c>
      <c r="H156" s="18">
        <v>7935.3600000000006</v>
      </c>
      <c r="I156" s="18">
        <v>0</v>
      </c>
      <c r="J156" s="18">
        <v>0</v>
      </c>
      <c r="K156" s="18">
        <v>0</v>
      </c>
      <c r="L156" s="18">
        <v>0</v>
      </c>
      <c r="M156" s="20">
        <v>76316.13</v>
      </c>
      <c r="N156" s="20"/>
      <c r="O156" s="19"/>
    </row>
    <row r="157" spans="1:15" s="16" customFormat="1" hidden="1" x14ac:dyDescent="0.25">
      <c r="A157" s="16" t="s">
        <v>51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11040</v>
      </c>
      <c r="E157" s="16" t="s">
        <v>11041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11042</v>
      </c>
      <c r="E158" s="16" t="s">
        <v>11043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11044</v>
      </c>
      <c r="E159" s="16" t="s">
        <v>11045</v>
      </c>
      <c r="F159" s="18">
        <v>258078.24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258078.24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11046</v>
      </c>
      <c r="E160" s="16" t="s">
        <v>11047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11048</v>
      </c>
      <c r="E161" s="16" t="s">
        <v>11049</v>
      </c>
      <c r="F161" s="18">
        <v>703261.83</v>
      </c>
      <c r="G161" s="18">
        <v>274222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977483.83</v>
      </c>
      <c r="N161" s="20"/>
      <c r="O161" s="19"/>
    </row>
    <row r="162" spans="1:15" s="16" customFormat="1" x14ac:dyDescent="0.25">
      <c r="A162" s="16" t="s">
        <v>51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11050</v>
      </c>
      <c r="E162" s="16" t="s">
        <v>11051</v>
      </c>
      <c r="F162" s="18">
        <v>2986.54</v>
      </c>
      <c r="G162" s="18">
        <v>51.100000000000009</v>
      </c>
      <c r="H162" s="18">
        <v>49.69</v>
      </c>
      <c r="I162" s="18">
        <v>0</v>
      </c>
      <c r="J162" s="18">
        <v>0</v>
      </c>
      <c r="K162" s="18">
        <v>0</v>
      </c>
      <c r="L162" s="18">
        <v>0</v>
      </c>
      <c r="M162" s="20">
        <v>2987.95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11052</v>
      </c>
      <c r="E163" s="16" t="s">
        <v>11053</v>
      </c>
      <c r="F163" s="18">
        <v>102253.54000000001</v>
      </c>
      <c r="G163" s="18">
        <v>720</v>
      </c>
      <c r="H163" s="18">
        <v>0</v>
      </c>
      <c r="I163" s="18">
        <v>0</v>
      </c>
      <c r="J163" s="18">
        <v>3669.08</v>
      </c>
      <c r="K163" s="18">
        <v>0</v>
      </c>
      <c r="L163" s="18">
        <v>0</v>
      </c>
      <c r="M163" s="20">
        <v>99304.459999999992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11054</v>
      </c>
      <c r="E164" s="16" t="s">
        <v>11055</v>
      </c>
      <c r="F164" s="18">
        <v>469049.94000000006</v>
      </c>
      <c r="G164" s="18">
        <v>59214.42</v>
      </c>
      <c r="H164" s="18">
        <v>33224.82</v>
      </c>
      <c r="I164" s="18">
        <v>0</v>
      </c>
      <c r="J164" s="18">
        <v>15591.69</v>
      </c>
      <c r="K164" s="18">
        <v>425</v>
      </c>
      <c r="L164" s="18">
        <v>3033.3</v>
      </c>
      <c r="M164" s="20">
        <v>476839.54999999993</v>
      </c>
      <c r="N164" s="20"/>
      <c r="O164" s="19"/>
    </row>
    <row r="165" spans="1:15" s="16" customFormat="1" hidden="1" x14ac:dyDescent="0.25">
      <c r="A165" s="16" t="s">
        <v>51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11056</v>
      </c>
      <c r="E165" s="16" t="s">
        <v>11057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11058</v>
      </c>
      <c r="E166" s="16" t="s">
        <v>11059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11060</v>
      </c>
      <c r="E167" s="16" t="s">
        <v>11061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11062</v>
      </c>
      <c r="E168" s="16" t="s">
        <v>11063</v>
      </c>
      <c r="F168" s="18">
        <v>2573851.3000000003</v>
      </c>
      <c r="G168" s="18">
        <v>67335.570000000007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2641186.87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11064</v>
      </c>
      <c r="E169" s="16" t="s">
        <v>11065</v>
      </c>
      <c r="F169" s="18">
        <v>746488.62</v>
      </c>
      <c r="G169" s="18">
        <v>1500.95</v>
      </c>
      <c r="H169" s="18">
        <v>65765.3</v>
      </c>
      <c r="I169" s="18">
        <v>0</v>
      </c>
      <c r="J169" s="18">
        <v>0</v>
      </c>
      <c r="K169" s="18">
        <v>0</v>
      </c>
      <c r="L169" s="18">
        <v>646.76</v>
      </c>
      <c r="M169" s="20">
        <v>681577.51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11066</v>
      </c>
      <c r="E170" s="16" t="s">
        <v>11067</v>
      </c>
      <c r="F170" s="18">
        <v>100710.36</v>
      </c>
      <c r="G170" s="18">
        <v>510</v>
      </c>
      <c r="H170" s="18">
        <v>0</v>
      </c>
      <c r="I170" s="18">
        <v>0</v>
      </c>
      <c r="J170" s="18">
        <v>8428.6200000000008</v>
      </c>
      <c r="K170" s="18">
        <v>0</v>
      </c>
      <c r="L170" s="18">
        <v>0</v>
      </c>
      <c r="M170" s="20">
        <v>92791.739999999991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11068</v>
      </c>
      <c r="E171" s="16" t="s">
        <v>11069</v>
      </c>
      <c r="F171" s="18">
        <v>20698.72</v>
      </c>
      <c r="G171" s="18">
        <v>4730</v>
      </c>
      <c r="H171" s="18">
        <v>28.81</v>
      </c>
      <c r="I171" s="18">
        <v>0</v>
      </c>
      <c r="J171" s="18">
        <v>18.600000000000001</v>
      </c>
      <c r="K171" s="18">
        <v>0</v>
      </c>
      <c r="L171" s="18">
        <v>113.63999999999999</v>
      </c>
      <c r="M171" s="20">
        <v>25267.670000000002</v>
      </c>
      <c r="N171" s="20"/>
      <c r="O171" s="19"/>
    </row>
    <row r="172" spans="1:15" s="16" customFormat="1" hidden="1" x14ac:dyDescent="0.25">
      <c r="A172" s="16" t="s">
        <v>51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11070</v>
      </c>
      <c r="E172" s="16" t="s">
        <v>11071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11072</v>
      </c>
      <c r="E173" s="16" t="s">
        <v>11073</v>
      </c>
      <c r="F173" s="18">
        <v>3337153.61</v>
      </c>
      <c r="G173" s="18">
        <v>385606.71</v>
      </c>
      <c r="H173" s="18">
        <v>47290.229999999996</v>
      </c>
      <c r="I173" s="18">
        <v>0</v>
      </c>
      <c r="J173" s="18">
        <v>16547.88</v>
      </c>
      <c r="K173" s="18">
        <v>10</v>
      </c>
      <c r="L173" s="18">
        <v>2744.67</v>
      </c>
      <c r="M173" s="20">
        <v>3656187.54</v>
      </c>
      <c r="N173" s="20"/>
      <c r="O173" s="19"/>
    </row>
    <row r="174" spans="1:15" s="16" customFormat="1" x14ac:dyDescent="0.25">
      <c r="A174" s="16" t="s">
        <v>51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11074</v>
      </c>
      <c r="E174" s="16" t="s">
        <v>11075</v>
      </c>
      <c r="F174" s="18">
        <v>1806874.84</v>
      </c>
      <c r="G174" s="18">
        <v>184334.8</v>
      </c>
      <c r="H174" s="18">
        <v>77453.290000000008</v>
      </c>
      <c r="I174" s="18">
        <v>0</v>
      </c>
      <c r="J174" s="18">
        <v>67375.31</v>
      </c>
      <c r="K174" s="18">
        <v>0</v>
      </c>
      <c r="L174" s="18">
        <v>1252.47</v>
      </c>
      <c r="M174" s="20">
        <v>1845128.57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11076</v>
      </c>
      <c r="E175" s="16" t="s">
        <v>11077</v>
      </c>
      <c r="F175" s="18">
        <v>381562.38</v>
      </c>
      <c r="G175" s="18">
        <v>1990560</v>
      </c>
      <c r="H175" s="18">
        <v>1918637.88</v>
      </c>
      <c r="I175" s="18">
        <v>0</v>
      </c>
      <c r="J175" s="18">
        <v>6734.67</v>
      </c>
      <c r="K175" s="18">
        <v>0</v>
      </c>
      <c r="L175" s="18">
        <v>0</v>
      </c>
      <c r="M175" s="20">
        <v>446749.83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11078</v>
      </c>
      <c r="E176" s="16" t="s">
        <v>11079</v>
      </c>
      <c r="F176" s="18">
        <v>123283.95</v>
      </c>
      <c r="G176" s="18">
        <v>11611.65</v>
      </c>
      <c r="H176" s="18">
        <v>15922.78</v>
      </c>
      <c r="I176" s="18">
        <v>0</v>
      </c>
      <c r="J176" s="18">
        <v>1170.21</v>
      </c>
      <c r="K176" s="18">
        <v>0</v>
      </c>
      <c r="L176" s="18">
        <v>30.6</v>
      </c>
      <c r="M176" s="20">
        <v>117772.01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11080</v>
      </c>
      <c r="E177" s="16" t="s">
        <v>11081</v>
      </c>
      <c r="F177" s="18">
        <v>2547434.66</v>
      </c>
      <c r="G177" s="18">
        <v>256224.91</v>
      </c>
      <c r="H177" s="18">
        <v>194633.8</v>
      </c>
      <c r="I177" s="18">
        <v>0</v>
      </c>
      <c r="J177" s="18">
        <v>69407.87</v>
      </c>
      <c r="K177" s="18">
        <v>0</v>
      </c>
      <c r="L177" s="18">
        <v>398.76</v>
      </c>
      <c r="M177" s="20">
        <v>2539219.14</v>
      </c>
      <c r="N177" s="20"/>
      <c r="O177" s="19"/>
    </row>
    <row r="178" spans="1:15" s="16" customFormat="1" x14ac:dyDescent="0.25">
      <c r="A178" s="16" t="s">
        <v>51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11082</v>
      </c>
      <c r="E178" s="16" t="s">
        <v>11083</v>
      </c>
      <c r="F178" s="18">
        <v>8385397</v>
      </c>
      <c r="G178" s="18">
        <v>274086.07</v>
      </c>
      <c r="H178" s="18">
        <v>290667.13</v>
      </c>
      <c r="I178" s="18">
        <v>0</v>
      </c>
      <c r="J178" s="18">
        <v>33561.629999999997</v>
      </c>
      <c r="K178" s="18">
        <v>0</v>
      </c>
      <c r="L178" s="18">
        <v>5918.1500000000005</v>
      </c>
      <c r="M178" s="20">
        <v>8329336.1600000001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11084</v>
      </c>
      <c r="E179" s="16" t="s">
        <v>11085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11086</v>
      </c>
      <c r="E180" s="16" t="s">
        <v>11087</v>
      </c>
      <c r="F180" s="18">
        <v>3809534.15</v>
      </c>
      <c r="G180" s="18">
        <v>242.14</v>
      </c>
      <c r="H180" s="18">
        <v>1310267.08</v>
      </c>
      <c r="I180" s="18">
        <v>0</v>
      </c>
      <c r="J180" s="18">
        <v>80507.199999999997</v>
      </c>
      <c r="K180" s="18">
        <v>0</v>
      </c>
      <c r="L180" s="18">
        <v>5854.93</v>
      </c>
      <c r="M180" s="20">
        <v>2413147.08</v>
      </c>
      <c r="N180" s="20"/>
      <c r="O180" s="19"/>
    </row>
    <row r="181" spans="1:15" s="16" customFormat="1" x14ac:dyDescent="0.25">
      <c r="A181" s="16" t="s">
        <v>51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11088</v>
      </c>
      <c r="E181" s="16" t="s">
        <v>11089</v>
      </c>
      <c r="F181" s="18">
        <v>6670897.1699999999</v>
      </c>
      <c r="G181" s="18">
        <v>3599652.97</v>
      </c>
      <c r="H181" s="18">
        <v>1106068.57</v>
      </c>
      <c r="I181" s="18">
        <v>0</v>
      </c>
      <c r="J181" s="18">
        <v>140250.37</v>
      </c>
      <c r="K181" s="18">
        <v>0.1</v>
      </c>
      <c r="L181" s="18">
        <v>4382.4900000000007</v>
      </c>
      <c r="M181" s="20">
        <v>9019848.8099999987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11090</v>
      </c>
      <c r="E182" s="16" t="s">
        <v>11091</v>
      </c>
      <c r="F182" s="18">
        <v>238870.97</v>
      </c>
      <c r="G182" s="18">
        <v>1976.3799999999999</v>
      </c>
      <c r="H182" s="18">
        <v>6824.76</v>
      </c>
      <c r="I182" s="18">
        <v>5686</v>
      </c>
      <c r="J182" s="18">
        <v>4197</v>
      </c>
      <c r="K182" s="18">
        <v>0</v>
      </c>
      <c r="L182" s="18">
        <v>75.12</v>
      </c>
      <c r="M182" s="20">
        <v>235436.47</v>
      </c>
      <c r="N182" s="20"/>
      <c r="O182" s="19"/>
    </row>
    <row r="183" spans="1:15" s="16" customFormat="1" hidden="1" x14ac:dyDescent="0.25">
      <c r="A183" s="16" t="s">
        <v>51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11092</v>
      </c>
      <c r="E183" s="16" t="s">
        <v>11093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11094</v>
      </c>
      <c r="E184" s="16" t="s">
        <v>11095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11096</v>
      </c>
      <c r="E185" s="16" t="s">
        <v>11097</v>
      </c>
      <c r="F185" s="18">
        <v>60737.85</v>
      </c>
      <c r="G185" s="18">
        <v>118633.32999999999</v>
      </c>
      <c r="H185" s="18">
        <v>0</v>
      </c>
      <c r="I185" s="18">
        <v>0</v>
      </c>
      <c r="J185" s="18">
        <v>60737.85</v>
      </c>
      <c r="K185" s="18">
        <v>0</v>
      </c>
      <c r="L185" s="18">
        <v>0</v>
      </c>
      <c r="M185" s="20">
        <v>118633.32999999999</v>
      </c>
      <c r="N185" s="20"/>
      <c r="O185" s="19"/>
    </row>
    <row r="186" spans="1:15" s="16" customFormat="1" hidden="1" x14ac:dyDescent="0.25">
      <c r="A186" s="16" t="s">
        <v>51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11098</v>
      </c>
      <c r="E186" s="16" t="s">
        <v>11099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11100</v>
      </c>
      <c r="E187" s="16" t="s">
        <v>11101</v>
      </c>
      <c r="F187" s="18">
        <v>760685.63</v>
      </c>
      <c r="G187" s="18">
        <v>35484.160000000003</v>
      </c>
      <c r="H187" s="18">
        <v>666209.93999999994</v>
      </c>
      <c r="I187" s="18">
        <v>0</v>
      </c>
      <c r="J187" s="18">
        <v>0</v>
      </c>
      <c r="K187" s="18">
        <v>0</v>
      </c>
      <c r="L187" s="18">
        <v>0</v>
      </c>
      <c r="M187" s="20">
        <v>129959.85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11102</v>
      </c>
      <c r="E188" s="16" t="s">
        <v>11103</v>
      </c>
      <c r="F188" s="18">
        <v>26551.25</v>
      </c>
      <c r="G188" s="18">
        <v>13982.349999999999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40533.599999999999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11104</v>
      </c>
      <c r="E189" s="16" t="s">
        <v>11105</v>
      </c>
      <c r="F189" s="18">
        <v>7915119.1699999999</v>
      </c>
      <c r="G189" s="18">
        <v>27786466.75</v>
      </c>
      <c r="H189" s="18">
        <v>0</v>
      </c>
      <c r="I189" s="18">
        <v>0</v>
      </c>
      <c r="J189" s="18">
        <v>23922512.940000001</v>
      </c>
      <c r="K189" s="18">
        <v>0</v>
      </c>
      <c r="L189" s="18">
        <v>0</v>
      </c>
      <c r="M189" s="20">
        <v>11779072.98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11106</v>
      </c>
      <c r="E190" s="16" t="s">
        <v>11107</v>
      </c>
      <c r="F190" s="18">
        <v>5100819.18</v>
      </c>
      <c r="G190" s="18">
        <v>6219175.5500000007</v>
      </c>
      <c r="H190" s="18">
        <v>1811852.7700000003</v>
      </c>
      <c r="I190" s="18">
        <v>0</v>
      </c>
      <c r="J190" s="18">
        <v>4735752.47</v>
      </c>
      <c r="K190" s="18">
        <v>0</v>
      </c>
      <c r="L190" s="18">
        <v>46155.99</v>
      </c>
      <c r="M190" s="20">
        <v>4726233.5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11108</v>
      </c>
      <c r="E191" s="16" t="s">
        <v>11109</v>
      </c>
      <c r="F191" s="18">
        <v>4138.05</v>
      </c>
      <c r="G191" s="18">
        <v>3383.0400000000004</v>
      </c>
      <c r="H191" s="18">
        <v>84904665</v>
      </c>
      <c r="I191" s="18">
        <v>84900000</v>
      </c>
      <c r="J191" s="18">
        <v>0</v>
      </c>
      <c r="K191" s="18">
        <v>0</v>
      </c>
      <c r="L191" s="18">
        <v>0</v>
      </c>
      <c r="M191" s="20">
        <v>2856.09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11110</v>
      </c>
      <c r="E192" s="16" t="s">
        <v>11111</v>
      </c>
      <c r="F192" s="18">
        <v>3550939.0999999996</v>
      </c>
      <c r="G192" s="18">
        <v>353708.61</v>
      </c>
      <c r="H192" s="18">
        <v>332516.99</v>
      </c>
      <c r="I192" s="18">
        <v>0</v>
      </c>
      <c r="J192" s="18">
        <v>4253.26</v>
      </c>
      <c r="K192" s="18">
        <v>0</v>
      </c>
      <c r="L192" s="18">
        <v>0</v>
      </c>
      <c r="M192" s="20">
        <v>3567877.46</v>
      </c>
      <c r="N192" s="20"/>
      <c r="O192" s="19"/>
    </row>
    <row r="193" spans="1:15" s="16" customFormat="1" x14ac:dyDescent="0.25">
      <c r="A193" s="16" t="s">
        <v>51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11112</v>
      </c>
      <c r="E193" s="16" t="s">
        <v>11113</v>
      </c>
      <c r="F193" s="18">
        <v>164866.38999999998</v>
      </c>
      <c r="G193" s="18">
        <v>80111.819999999992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244978.21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11114</v>
      </c>
      <c r="E194" s="16" t="s">
        <v>11115</v>
      </c>
      <c r="F194" s="18">
        <v>3262216.6100000003</v>
      </c>
      <c r="G194" s="18">
        <v>133149.25</v>
      </c>
      <c r="H194" s="18">
        <v>166478.49000000002</v>
      </c>
      <c r="I194" s="18">
        <v>0</v>
      </c>
      <c r="J194" s="18">
        <v>0</v>
      </c>
      <c r="K194" s="18">
        <v>0</v>
      </c>
      <c r="L194" s="18">
        <v>0</v>
      </c>
      <c r="M194" s="20">
        <v>3228887.3699999996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11116</v>
      </c>
      <c r="E195" s="16" t="s">
        <v>11117</v>
      </c>
      <c r="F195" s="18">
        <v>34899843.390000001</v>
      </c>
      <c r="G195" s="18">
        <v>0</v>
      </c>
      <c r="H195" s="18">
        <v>14828436.57</v>
      </c>
      <c r="I195" s="18">
        <v>29984607</v>
      </c>
      <c r="J195" s="18">
        <v>18359576</v>
      </c>
      <c r="K195" s="18">
        <v>0</v>
      </c>
      <c r="L195" s="18">
        <v>0</v>
      </c>
      <c r="M195" s="20">
        <v>31696437.82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11118</v>
      </c>
      <c r="E196" s="16" t="s">
        <v>11119</v>
      </c>
      <c r="F196" s="18">
        <v>132233.09</v>
      </c>
      <c r="G196" s="18">
        <v>47179.6</v>
      </c>
      <c r="H196" s="18">
        <v>20047.739999999998</v>
      </c>
      <c r="I196" s="18">
        <v>0</v>
      </c>
      <c r="J196" s="18">
        <v>1022.03</v>
      </c>
      <c r="K196" s="18">
        <v>645</v>
      </c>
      <c r="L196" s="18">
        <v>5059.1899999999996</v>
      </c>
      <c r="M196" s="20">
        <v>153928.72999999998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11120</v>
      </c>
      <c r="E197" s="16" t="s">
        <v>11121</v>
      </c>
      <c r="F197" s="18">
        <v>197686.72</v>
      </c>
      <c r="G197" s="18">
        <v>0</v>
      </c>
      <c r="H197" s="18">
        <v>3428.48</v>
      </c>
      <c r="I197" s="18">
        <v>0</v>
      </c>
      <c r="J197" s="18">
        <v>2324.84</v>
      </c>
      <c r="K197" s="18">
        <v>0</v>
      </c>
      <c r="L197" s="18">
        <v>0.08</v>
      </c>
      <c r="M197" s="20">
        <v>191933.32</v>
      </c>
      <c r="N197" s="20"/>
      <c r="O197" s="19"/>
    </row>
    <row r="198" spans="1:15" s="16" customFormat="1" hidden="1" x14ac:dyDescent="0.25">
      <c r="A198" s="16" t="s">
        <v>51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11122</v>
      </c>
      <c r="E198" s="16" t="s">
        <v>11123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11124</v>
      </c>
      <c r="E199" s="16" t="s">
        <v>11125</v>
      </c>
      <c r="F199" s="18">
        <v>322824.92</v>
      </c>
      <c r="G199" s="18">
        <v>4151.25</v>
      </c>
      <c r="H199" s="18">
        <v>2937.84</v>
      </c>
      <c r="I199" s="18">
        <v>0</v>
      </c>
      <c r="J199" s="18">
        <v>1441.06</v>
      </c>
      <c r="K199" s="18">
        <v>0</v>
      </c>
      <c r="L199" s="18">
        <v>11.89</v>
      </c>
      <c r="M199" s="20">
        <v>322585.38</v>
      </c>
      <c r="N199" s="20"/>
      <c r="O199" s="19"/>
    </row>
    <row r="200" spans="1:15" s="16" customFormat="1" x14ac:dyDescent="0.25">
      <c r="A200" s="16" t="s">
        <v>51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11126</v>
      </c>
      <c r="E200" s="16" t="s">
        <v>11127</v>
      </c>
      <c r="F200" s="18">
        <v>47247.560000000005</v>
      </c>
      <c r="G200" s="18">
        <v>249.99999999999997</v>
      </c>
      <c r="H200" s="18">
        <v>0</v>
      </c>
      <c r="I200" s="18">
        <v>3027.0000000000005</v>
      </c>
      <c r="J200" s="18">
        <v>0</v>
      </c>
      <c r="K200" s="18">
        <v>0</v>
      </c>
      <c r="L200" s="18">
        <v>731.36</v>
      </c>
      <c r="M200" s="20">
        <v>49793.2</v>
      </c>
      <c r="N200" s="20"/>
      <c r="O200" s="19"/>
    </row>
    <row r="201" spans="1:15" s="16" customFormat="1" x14ac:dyDescent="0.25">
      <c r="A201" s="16" t="s">
        <v>51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11128</v>
      </c>
      <c r="E201" s="16" t="s">
        <v>11129</v>
      </c>
      <c r="F201" s="18">
        <v>2006534.82</v>
      </c>
      <c r="G201" s="18">
        <v>82202</v>
      </c>
      <c r="H201" s="18">
        <v>7577.9299999999994</v>
      </c>
      <c r="I201" s="18">
        <v>0</v>
      </c>
      <c r="J201" s="18">
        <v>0</v>
      </c>
      <c r="K201" s="18">
        <v>0</v>
      </c>
      <c r="L201" s="18">
        <v>0</v>
      </c>
      <c r="M201" s="20">
        <v>2081158.8900000001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11130</v>
      </c>
      <c r="E202" s="16" t="s">
        <v>11131</v>
      </c>
      <c r="F202" s="18">
        <v>3610597.01</v>
      </c>
      <c r="G202" s="18">
        <v>613143.95000000007</v>
      </c>
      <c r="H202" s="18">
        <v>611582.62</v>
      </c>
      <c r="I202" s="18">
        <v>0</v>
      </c>
      <c r="J202" s="18">
        <v>91507.099999999991</v>
      </c>
      <c r="K202" s="18">
        <v>50790.25</v>
      </c>
      <c r="L202" s="18">
        <v>40420.880000000005</v>
      </c>
      <c r="M202" s="20">
        <v>3531020.61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11132</v>
      </c>
      <c r="E203" s="16" t="s">
        <v>11133</v>
      </c>
      <c r="F203" s="18">
        <v>13414.57</v>
      </c>
      <c r="G203" s="18">
        <v>1175</v>
      </c>
      <c r="H203" s="18">
        <v>9.26</v>
      </c>
      <c r="I203" s="18">
        <v>0</v>
      </c>
      <c r="J203" s="18">
        <v>0</v>
      </c>
      <c r="K203" s="18">
        <v>0</v>
      </c>
      <c r="L203" s="18">
        <v>40.35</v>
      </c>
      <c r="M203" s="20">
        <v>14539.96</v>
      </c>
      <c r="N203" s="20"/>
      <c r="O203" s="19"/>
    </row>
    <row r="204" spans="1:15" s="16" customFormat="1" hidden="1" x14ac:dyDescent="0.25">
      <c r="A204" s="16" t="s">
        <v>51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11134</v>
      </c>
      <c r="E204" s="16" t="s">
        <v>11135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11136</v>
      </c>
      <c r="E205" s="16" t="s">
        <v>11137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11138</v>
      </c>
      <c r="E206" s="16" t="s">
        <v>11139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11140</v>
      </c>
      <c r="E207" s="16" t="s">
        <v>11141</v>
      </c>
      <c r="F207" s="18">
        <v>21443830.279999997</v>
      </c>
      <c r="G207" s="18">
        <v>113248.86</v>
      </c>
      <c r="H207" s="18">
        <v>901849.62999999989</v>
      </c>
      <c r="I207" s="18">
        <v>4461754.16</v>
      </c>
      <c r="J207" s="18">
        <v>218451.02999999997</v>
      </c>
      <c r="K207" s="18">
        <v>0</v>
      </c>
      <c r="L207" s="18">
        <v>56698.19</v>
      </c>
      <c r="M207" s="20">
        <v>24841834.449999999</v>
      </c>
      <c r="N207" s="20"/>
      <c r="O207" s="19"/>
    </row>
    <row r="208" spans="1:15" s="16" customFormat="1" x14ac:dyDescent="0.25">
      <c r="A208" s="16" t="s">
        <v>51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11142</v>
      </c>
      <c r="E208" s="16" t="s">
        <v>11143</v>
      </c>
      <c r="F208" s="18">
        <v>981162.92</v>
      </c>
      <c r="G208" s="18">
        <v>1064.83</v>
      </c>
      <c r="H208" s="18">
        <v>183023.26</v>
      </c>
      <c r="I208" s="18">
        <v>0</v>
      </c>
      <c r="J208" s="18">
        <v>0</v>
      </c>
      <c r="K208" s="18">
        <v>0</v>
      </c>
      <c r="L208" s="18">
        <v>0</v>
      </c>
      <c r="M208" s="20">
        <v>799204.49</v>
      </c>
      <c r="N208" s="20"/>
      <c r="O208" s="19"/>
    </row>
    <row r="209" spans="1:15" s="16" customFormat="1" x14ac:dyDescent="0.25">
      <c r="A209" s="16" t="s">
        <v>51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11144</v>
      </c>
      <c r="E209" s="16" t="s">
        <v>11145</v>
      </c>
      <c r="F209" s="18">
        <v>24242951.010000002</v>
      </c>
      <c r="G209" s="18">
        <v>19011.740000000002</v>
      </c>
      <c r="H209" s="18">
        <v>895466.49</v>
      </c>
      <c r="I209" s="18">
        <v>0</v>
      </c>
      <c r="J209" s="18">
        <v>0</v>
      </c>
      <c r="K209" s="18">
        <v>0</v>
      </c>
      <c r="L209" s="18">
        <v>0</v>
      </c>
      <c r="M209" s="20">
        <v>23366496.259999998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11146</v>
      </c>
      <c r="E210" s="16" t="s">
        <v>11147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11148</v>
      </c>
      <c r="E211" s="16" t="s">
        <v>11149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11150</v>
      </c>
      <c r="E212" s="16" t="s">
        <v>11151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11152</v>
      </c>
      <c r="E213" s="16" t="s">
        <v>11153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11154</v>
      </c>
      <c r="E214" s="16" t="s">
        <v>11155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11156</v>
      </c>
      <c r="E215" s="16" t="s">
        <v>11157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11158</v>
      </c>
      <c r="E216" s="16" t="s">
        <v>11159</v>
      </c>
      <c r="F216" s="18">
        <v>73660282.539999992</v>
      </c>
      <c r="G216" s="18">
        <v>19681172.07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93341454.609999999</v>
      </c>
      <c r="N216" s="20"/>
      <c r="O216" s="19"/>
    </row>
    <row r="217" spans="1:15" s="16" customFormat="1" x14ac:dyDescent="0.25">
      <c r="A217" s="16" t="s">
        <v>51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11160</v>
      </c>
      <c r="E217" s="16" t="s">
        <v>11161</v>
      </c>
      <c r="F217" s="18">
        <v>932543233.26000011</v>
      </c>
      <c r="G217" s="18">
        <v>161111165.34</v>
      </c>
      <c r="H217" s="18">
        <v>183401290.91</v>
      </c>
      <c r="I217" s="18">
        <v>38927729.619999997</v>
      </c>
      <c r="J217" s="18">
        <v>1224302.95</v>
      </c>
      <c r="K217" s="18">
        <v>254344.64</v>
      </c>
      <c r="L217" s="18">
        <v>523484.87</v>
      </c>
      <c r="M217" s="20">
        <v>947687394.13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11162</v>
      </c>
      <c r="E218" s="16" t="s">
        <v>11163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11164</v>
      </c>
      <c r="E219" s="16" t="s">
        <v>11165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11166</v>
      </c>
      <c r="E220" s="16" t="s">
        <v>11167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11168</v>
      </c>
      <c r="E221" s="16" t="s">
        <v>11169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11170</v>
      </c>
      <c r="E222" s="16" t="s">
        <v>11171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11172</v>
      </c>
      <c r="E223" s="16" t="s">
        <v>11173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11174</v>
      </c>
      <c r="E224" s="16" t="s">
        <v>11175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11176</v>
      </c>
      <c r="E225" s="16" t="s">
        <v>11177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11178</v>
      </c>
      <c r="E226" s="16" t="s">
        <v>11179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11180</v>
      </c>
      <c r="E227" s="16" t="s">
        <v>11181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11182</v>
      </c>
      <c r="E228" s="16" t="s">
        <v>11183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11184</v>
      </c>
      <c r="E229" s="16" t="s">
        <v>11185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11186</v>
      </c>
      <c r="E230" s="16" t="s">
        <v>11187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11188</v>
      </c>
      <c r="E231" s="16" t="s">
        <v>11189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11190</v>
      </c>
      <c r="E232" s="16" t="s">
        <v>11191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11192</v>
      </c>
      <c r="E233" s="16" t="s">
        <v>11193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11194</v>
      </c>
      <c r="E234" s="16" t="s">
        <v>11195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11196</v>
      </c>
      <c r="E235" s="16" t="s">
        <v>11197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11198</v>
      </c>
      <c r="E236" s="16" t="s">
        <v>11199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11200</v>
      </c>
      <c r="E237" s="16" t="s">
        <v>11201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11202</v>
      </c>
      <c r="E238" s="16" t="s">
        <v>11203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11204</v>
      </c>
      <c r="E239" s="16" t="s">
        <v>11205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11206</v>
      </c>
      <c r="E240" s="16" t="s">
        <v>11207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11208</v>
      </c>
      <c r="E241" s="16" t="s">
        <v>11209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11210</v>
      </c>
      <c r="E242" s="16" t="s">
        <v>11211</v>
      </c>
      <c r="F242" s="18">
        <v>1112838.29</v>
      </c>
      <c r="G242" s="18">
        <v>926.0200000000001</v>
      </c>
      <c r="H242" s="18">
        <v>240000</v>
      </c>
      <c r="I242" s="18">
        <v>0</v>
      </c>
      <c r="J242" s="18">
        <v>0</v>
      </c>
      <c r="K242" s="18">
        <v>0</v>
      </c>
      <c r="L242" s="18">
        <v>0</v>
      </c>
      <c r="M242" s="20">
        <v>873764.31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11212</v>
      </c>
      <c r="E243" s="16" t="s">
        <v>11213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11214</v>
      </c>
      <c r="E244" s="16" t="s">
        <v>11215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11216</v>
      </c>
      <c r="E245" s="16" t="s">
        <v>11217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11218</v>
      </c>
      <c r="E246" s="16" t="s">
        <v>11219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11220</v>
      </c>
      <c r="E247" s="16" t="s">
        <v>11221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11222</v>
      </c>
      <c r="E248" s="16" t="s">
        <v>11223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11224</v>
      </c>
      <c r="E249" s="16" t="s">
        <v>11225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11226</v>
      </c>
      <c r="E250" s="16" t="s">
        <v>11227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11228</v>
      </c>
      <c r="E251" s="16" t="s">
        <v>11229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51</v>
      </c>
      <c r="B252" s="16" t="str">
        <f t="shared" si="3"/>
        <v>show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11230</v>
      </c>
      <c r="E252" s="16" t="s">
        <v>11231</v>
      </c>
      <c r="F252" s="18">
        <v>1193049.3999999999</v>
      </c>
      <c r="G252" s="18">
        <v>1176.22</v>
      </c>
      <c r="H252" s="18">
        <v>1194225.6199999999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11232</v>
      </c>
      <c r="E253" s="16" t="s">
        <v>11233</v>
      </c>
      <c r="F253" s="18">
        <v>4862161.91</v>
      </c>
      <c r="G253" s="18">
        <v>3677.02</v>
      </c>
      <c r="H253" s="18">
        <v>30671.5</v>
      </c>
      <c r="I253" s="18">
        <v>0</v>
      </c>
      <c r="J253" s="18">
        <v>0</v>
      </c>
      <c r="K253" s="18">
        <v>0</v>
      </c>
      <c r="L253" s="18">
        <v>0</v>
      </c>
      <c r="M253" s="20">
        <v>4835167.43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11234</v>
      </c>
      <c r="E254" s="16" t="s">
        <v>11235</v>
      </c>
      <c r="F254" s="18">
        <v>12604724.369999999</v>
      </c>
      <c r="G254" s="18">
        <v>8954.9</v>
      </c>
      <c r="H254" s="18">
        <v>9053631.2599999998</v>
      </c>
      <c r="I254" s="18">
        <v>8970227.5500000007</v>
      </c>
      <c r="J254" s="18">
        <v>0</v>
      </c>
      <c r="K254" s="18">
        <v>0</v>
      </c>
      <c r="L254" s="18">
        <v>0</v>
      </c>
      <c r="M254" s="20">
        <v>12530275.560000001</v>
      </c>
      <c r="N254" s="20"/>
      <c r="O254" s="19"/>
    </row>
    <row r="255" spans="1:15" s="16" customFormat="1" hidden="1" x14ac:dyDescent="0.25">
      <c r="A255" s="16" t="s">
        <v>51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11236</v>
      </c>
      <c r="E255" s="16" t="s">
        <v>11237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11238</v>
      </c>
      <c r="E256" s="16" t="s">
        <v>11239</v>
      </c>
      <c r="F256" s="18">
        <v>2086993.76</v>
      </c>
      <c r="G256" s="18">
        <v>1444582.32</v>
      </c>
      <c r="H256" s="18">
        <v>310454.33999999997</v>
      </c>
      <c r="I256" s="18">
        <v>0</v>
      </c>
      <c r="J256" s="18">
        <v>12830.52</v>
      </c>
      <c r="K256" s="18">
        <v>0</v>
      </c>
      <c r="L256" s="18">
        <v>98.68</v>
      </c>
      <c r="M256" s="20">
        <v>3208192.54</v>
      </c>
      <c r="N256" s="20"/>
      <c r="O256" s="19"/>
    </row>
    <row r="257" spans="1:15" s="16" customFormat="1" hidden="1" x14ac:dyDescent="0.25">
      <c r="A257" s="16" t="s">
        <v>51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11240</v>
      </c>
      <c r="E257" s="16" t="s">
        <v>11241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11242</v>
      </c>
      <c r="E258" s="16" t="s">
        <v>11243</v>
      </c>
      <c r="F258" s="18">
        <v>6419510.5800000001</v>
      </c>
      <c r="G258" s="18">
        <v>2120072.29</v>
      </c>
      <c r="H258" s="18">
        <v>2547665.73</v>
      </c>
      <c r="I258" s="18">
        <v>0</v>
      </c>
      <c r="J258" s="18">
        <v>167226.13</v>
      </c>
      <c r="K258" s="18">
        <v>0</v>
      </c>
      <c r="L258" s="18">
        <v>72433.14</v>
      </c>
      <c r="M258" s="20">
        <v>5752257.8700000001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11244</v>
      </c>
      <c r="E259" s="16" t="s">
        <v>11245</v>
      </c>
      <c r="F259" s="18">
        <v>33410.1</v>
      </c>
      <c r="G259" s="18">
        <v>2530</v>
      </c>
      <c r="H259" s="18">
        <v>2712.87</v>
      </c>
      <c r="I259" s="18">
        <v>0</v>
      </c>
      <c r="J259" s="18">
        <v>1486.27</v>
      </c>
      <c r="K259" s="18">
        <v>0</v>
      </c>
      <c r="L259" s="18">
        <v>388.09000000000003</v>
      </c>
      <c r="M259" s="20">
        <v>31352.870000000003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11246</v>
      </c>
      <c r="E260" s="16" t="s">
        <v>11247</v>
      </c>
      <c r="F260" s="18">
        <v>1610921.62</v>
      </c>
      <c r="G260" s="18">
        <v>19944.509999999998</v>
      </c>
      <c r="H260" s="18">
        <v>374812.65</v>
      </c>
      <c r="I260" s="18">
        <v>2836.25</v>
      </c>
      <c r="J260" s="18">
        <v>36666.11</v>
      </c>
      <c r="K260" s="18">
        <v>4613.25</v>
      </c>
      <c r="L260" s="18">
        <v>2800.9199999999996</v>
      </c>
      <c r="M260" s="20">
        <v>1224035.9500000002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11248</v>
      </c>
      <c r="E261" s="16" t="s">
        <v>11249</v>
      </c>
      <c r="F261" s="18">
        <v>37033.08</v>
      </c>
      <c r="G261" s="18">
        <v>83.59</v>
      </c>
      <c r="H261" s="18">
        <v>7695.2</v>
      </c>
      <c r="I261" s="18">
        <v>0</v>
      </c>
      <c r="J261" s="18">
        <v>4708.8500000000004</v>
      </c>
      <c r="K261" s="18">
        <v>0</v>
      </c>
      <c r="L261" s="18">
        <v>12.33</v>
      </c>
      <c r="M261" s="20">
        <v>24700.29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11250</v>
      </c>
      <c r="E262" s="16" t="s">
        <v>11251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11252</v>
      </c>
      <c r="E263" s="16" t="s">
        <v>11253</v>
      </c>
      <c r="F263" s="18">
        <v>815752.73</v>
      </c>
      <c r="G263" s="18">
        <v>41067.14</v>
      </c>
      <c r="H263" s="18">
        <v>421906.51</v>
      </c>
      <c r="I263" s="18">
        <v>0</v>
      </c>
      <c r="J263" s="18">
        <v>10786.51</v>
      </c>
      <c r="K263" s="18">
        <v>1546.33</v>
      </c>
      <c r="L263" s="18">
        <v>26571.81</v>
      </c>
      <c r="M263" s="20">
        <v>399101.37</v>
      </c>
      <c r="N263" s="20"/>
      <c r="O263" s="19"/>
    </row>
    <row r="264" spans="1:15" s="16" customFormat="1" x14ac:dyDescent="0.25">
      <c r="A264" s="16" t="s">
        <v>51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11254</v>
      </c>
      <c r="E264" s="16" t="s">
        <v>11255</v>
      </c>
      <c r="F264" s="18">
        <v>13324.880000000001</v>
      </c>
      <c r="G264" s="18">
        <v>6.22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13331.099999999999</v>
      </c>
      <c r="N264" s="20"/>
      <c r="O264" s="19"/>
    </row>
    <row r="265" spans="1:15" s="16" customFormat="1" x14ac:dyDescent="0.25">
      <c r="A265" s="16" t="s">
        <v>51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11256</v>
      </c>
      <c r="E265" s="16" t="s">
        <v>11257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11258</v>
      </c>
      <c r="E266" s="16" t="s">
        <v>11259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11260</v>
      </c>
      <c r="E267" s="16" t="s">
        <v>11261</v>
      </c>
      <c r="F267" s="18">
        <v>2580.96</v>
      </c>
      <c r="G267" s="18">
        <v>241.79000000000002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2822.75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11262</v>
      </c>
      <c r="E268" s="16" t="s">
        <v>11263</v>
      </c>
      <c r="F268" s="18">
        <v>20647957.710000001</v>
      </c>
      <c r="G268" s="18">
        <v>1483026.26</v>
      </c>
      <c r="H268" s="18">
        <v>579281.80000000005</v>
      </c>
      <c r="I268" s="18">
        <v>0</v>
      </c>
      <c r="J268" s="18">
        <v>107122.57999999999</v>
      </c>
      <c r="K268" s="18">
        <v>28441.040000000001</v>
      </c>
      <c r="L268" s="18">
        <v>25606.780000000002</v>
      </c>
      <c r="M268" s="20">
        <v>21447413.849999998</v>
      </c>
      <c r="N268" s="20"/>
      <c r="O268" s="19"/>
    </row>
    <row r="269" spans="1:15" s="16" customFormat="1" hidden="1" x14ac:dyDescent="0.25">
      <c r="A269" s="16" t="s">
        <v>51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11264</v>
      </c>
      <c r="E269" s="16" t="s">
        <v>11265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11266</v>
      </c>
      <c r="E270" s="16" t="s">
        <v>11267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11268</v>
      </c>
      <c r="E271" s="16" t="s">
        <v>11269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11270</v>
      </c>
      <c r="E272" s="16" t="s">
        <v>11271</v>
      </c>
      <c r="F272" s="18">
        <v>10922</v>
      </c>
      <c r="G272" s="18">
        <v>499.99999999999994</v>
      </c>
      <c r="H272" s="18">
        <v>343.33</v>
      </c>
      <c r="I272" s="18">
        <v>0</v>
      </c>
      <c r="J272" s="18">
        <v>220.89</v>
      </c>
      <c r="K272" s="18">
        <v>0</v>
      </c>
      <c r="L272" s="18">
        <v>0</v>
      </c>
      <c r="M272" s="20">
        <v>10857.779999999999</v>
      </c>
      <c r="N272" s="20"/>
      <c r="O272" s="19"/>
    </row>
    <row r="273" spans="1:15" s="16" customFormat="1" hidden="1" x14ac:dyDescent="0.25">
      <c r="A273" s="16" t="s">
        <v>51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11272</v>
      </c>
      <c r="E273" s="16" t="s">
        <v>11273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11274</v>
      </c>
      <c r="E274" s="16" t="s">
        <v>11275</v>
      </c>
      <c r="F274" s="18">
        <v>1894744.27</v>
      </c>
      <c r="G274" s="18">
        <v>201483.42</v>
      </c>
      <c r="H274" s="18">
        <v>6027.96</v>
      </c>
      <c r="I274" s="18">
        <v>0</v>
      </c>
      <c r="J274" s="18">
        <v>3451.88</v>
      </c>
      <c r="K274" s="18">
        <v>0</v>
      </c>
      <c r="L274" s="18">
        <v>0</v>
      </c>
      <c r="M274" s="20">
        <v>2086747.8499999999</v>
      </c>
      <c r="N274" s="20"/>
      <c r="O274" s="19"/>
    </row>
    <row r="275" spans="1:15" s="16" customFormat="1" x14ac:dyDescent="0.25">
      <c r="A275" s="16" t="s">
        <v>51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11276</v>
      </c>
      <c r="E275" s="16" t="s">
        <v>11277</v>
      </c>
      <c r="F275" s="18">
        <v>3966.1900000000005</v>
      </c>
      <c r="G275" s="18">
        <v>9.73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3975.9199999999996</v>
      </c>
      <c r="N275" s="20"/>
      <c r="O275" s="19"/>
    </row>
    <row r="276" spans="1:15" s="16" customFormat="1" hidden="1" x14ac:dyDescent="0.25">
      <c r="A276" s="16" t="s">
        <v>51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11278</v>
      </c>
      <c r="E276" s="16" t="s">
        <v>11279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11280</v>
      </c>
      <c r="E277" s="16" t="s">
        <v>11281</v>
      </c>
      <c r="F277" s="18">
        <v>1222622.08</v>
      </c>
      <c r="G277" s="18">
        <v>522.54999999999995</v>
      </c>
      <c r="H277" s="18">
        <v>55024.220000000008</v>
      </c>
      <c r="I277" s="18">
        <v>30341.600000000002</v>
      </c>
      <c r="J277" s="18">
        <v>3456.42</v>
      </c>
      <c r="K277" s="18">
        <v>77656.100000000006</v>
      </c>
      <c r="L277" s="18">
        <v>9270.07</v>
      </c>
      <c r="M277" s="20">
        <v>1263391.6200000001</v>
      </c>
      <c r="N277" s="20"/>
      <c r="O277" s="19"/>
    </row>
    <row r="278" spans="1:15" s="16" customFormat="1" x14ac:dyDescent="0.25">
      <c r="A278" s="16" t="s">
        <v>51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11282</v>
      </c>
      <c r="E278" s="16" t="s">
        <v>11283</v>
      </c>
      <c r="F278" s="18">
        <v>526773.97000000009</v>
      </c>
      <c r="G278" s="18">
        <v>13772</v>
      </c>
      <c r="H278" s="18">
        <v>13095.53</v>
      </c>
      <c r="I278" s="18">
        <v>0</v>
      </c>
      <c r="J278" s="18">
        <v>8498.0500000000011</v>
      </c>
      <c r="K278" s="18">
        <v>694</v>
      </c>
      <c r="L278" s="18">
        <v>1880.4</v>
      </c>
      <c r="M278" s="20">
        <v>517765.99</v>
      </c>
      <c r="N278" s="20"/>
      <c r="O278" s="19"/>
    </row>
    <row r="279" spans="1:15" s="16" customFormat="1" x14ac:dyDescent="0.25">
      <c r="A279" s="16" t="s">
        <v>51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11284</v>
      </c>
      <c r="E279" s="16" t="s">
        <v>11285</v>
      </c>
      <c r="F279" s="18">
        <v>613</v>
      </c>
      <c r="G279" s="18">
        <v>0.09</v>
      </c>
      <c r="H279" s="18">
        <v>19</v>
      </c>
      <c r="I279" s="18">
        <v>73</v>
      </c>
      <c r="J279" s="18">
        <v>0</v>
      </c>
      <c r="K279" s="18">
        <v>0</v>
      </c>
      <c r="L279" s="18">
        <v>0</v>
      </c>
      <c r="M279" s="20">
        <v>667.08999999999992</v>
      </c>
      <c r="N279" s="20"/>
      <c r="O279" s="19"/>
    </row>
    <row r="280" spans="1:15" s="16" customFormat="1" x14ac:dyDescent="0.25">
      <c r="A280" s="16" t="s">
        <v>51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11286</v>
      </c>
      <c r="E280" s="16" t="s">
        <v>11287</v>
      </c>
      <c r="F280" s="18">
        <v>837</v>
      </c>
      <c r="G280" s="18">
        <v>0.13</v>
      </c>
      <c r="H280" s="18">
        <v>0</v>
      </c>
      <c r="I280" s="18">
        <v>222.00000000000003</v>
      </c>
      <c r="J280" s="18">
        <v>0</v>
      </c>
      <c r="K280" s="18">
        <v>0</v>
      </c>
      <c r="L280" s="18">
        <v>0</v>
      </c>
      <c r="M280" s="20">
        <v>1059.1299999999999</v>
      </c>
      <c r="N280" s="20"/>
      <c r="O280" s="19"/>
    </row>
    <row r="281" spans="1:15" s="16" customFormat="1" x14ac:dyDescent="0.25">
      <c r="A281" s="16" t="s">
        <v>51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11288</v>
      </c>
      <c r="E281" s="16" t="s">
        <v>11289</v>
      </c>
      <c r="F281" s="18">
        <v>1092850.3</v>
      </c>
      <c r="G281" s="18">
        <v>590.04</v>
      </c>
      <c r="H281" s="18">
        <v>18389.13</v>
      </c>
      <c r="I281" s="18">
        <v>0</v>
      </c>
      <c r="J281" s="18">
        <v>12046</v>
      </c>
      <c r="K281" s="18">
        <v>0</v>
      </c>
      <c r="L281" s="18">
        <v>455.88000000000005</v>
      </c>
      <c r="M281" s="20">
        <v>1062549.33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11290</v>
      </c>
      <c r="E282" s="16" t="s">
        <v>11291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11292</v>
      </c>
      <c r="E283" s="16" t="s">
        <v>11293</v>
      </c>
      <c r="F283" s="18">
        <v>708666.29</v>
      </c>
      <c r="G283" s="18">
        <v>217661.2</v>
      </c>
      <c r="H283" s="18">
        <v>317708.26</v>
      </c>
      <c r="I283" s="18">
        <v>0</v>
      </c>
      <c r="J283" s="18">
        <v>0</v>
      </c>
      <c r="K283" s="18">
        <v>0</v>
      </c>
      <c r="L283" s="18">
        <v>15425.240000000002</v>
      </c>
      <c r="M283" s="20">
        <v>593193.99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11294</v>
      </c>
      <c r="E284" s="16" t="s">
        <v>11295</v>
      </c>
      <c r="F284" s="18">
        <v>35.82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35.82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11296</v>
      </c>
      <c r="E285" s="16" t="s">
        <v>11297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11298</v>
      </c>
      <c r="E286" s="16" t="s">
        <v>11299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11300</v>
      </c>
      <c r="E287" s="16" t="s">
        <v>11301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11302</v>
      </c>
      <c r="E288" s="16" t="s">
        <v>11303</v>
      </c>
      <c r="F288" s="18">
        <v>5630033.6500000004</v>
      </c>
      <c r="G288" s="18">
        <v>7303733.04</v>
      </c>
      <c r="H288" s="18">
        <v>7904511.3600000003</v>
      </c>
      <c r="I288" s="18">
        <v>0</v>
      </c>
      <c r="J288" s="18">
        <v>2636442.5499999998</v>
      </c>
      <c r="K288" s="18">
        <v>0</v>
      </c>
      <c r="L288" s="18">
        <v>64790.71</v>
      </c>
      <c r="M288" s="20">
        <v>2328022.0699999998</v>
      </c>
      <c r="N288" s="20"/>
      <c r="O288" s="19"/>
    </row>
    <row r="289" spans="1:15" s="16" customFormat="1" x14ac:dyDescent="0.25">
      <c r="A289" s="16" t="s">
        <v>51</v>
      </c>
      <c r="B289" s="16" t="str">
        <f t="shared" si="4"/>
        <v>show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11304</v>
      </c>
      <c r="E289" s="16" t="s">
        <v>11305</v>
      </c>
      <c r="F289" s="18">
        <v>0</v>
      </c>
      <c r="G289" s="18">
        <v>0</v>
      </c>
      <c r="H289" s="18">
        <v>0</v>
      </c>
      <c r="I289" s="18">
        <v>2135510</v>
      </c>
      <c r="J289" s="18">
        <v>0</v>
      </c>
      <c r="K289" s="18">
        <v>0</v>
      </c>
      <c r="L289" s="18">
        <v>0</v>
      </c>
      <c r="M289" s="20">
        <v>2135510</v>
      </c>
      <c r="N289" s="20"/>
      <c r="O289" s="19"/>
    </row>
    <row r="290" spans="1:15" s="16" customFormat="1" hidden="1" x14ac:dyDescent="0.25">
      <c r="A290" s="16" t="s">
        <v>51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11306</v>
      </c>
      <c r="E290" s="16" t="s">
        <v>11307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11308</v>
      </c>
      <c r="E291" s="16" t="s">
        <v>11309</v>
      </c>
      <c r="F291" s="18">
        <v>32355.93</v>
      </c>
      <c r="G291" s="18">
        <v>80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32435.93</v>
      </c>
      <c r="N291" s="20"/>
      <c r="O291" s="19"/>
    </row>
    <row r="292" spans="1:15" s="16" customFormat="1" hidden="1" x14ac:dyDescent="0.25">
      <c r="A292" s="16" t="s">
        <v>51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11310</v>
      </c>
      <c r="E292" s="16" t="s">
        <v>11311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11312</v>
      </c>
      <c r="E293" s="16" t="s">
        <v>11313</v>
      </c>
      <c r="F293" s="18">
        <v>51448.92</v>
      </c>
      <c r="G293" s="18">
        <v>4330.78</v>
      </c>
      <c r="H293" s="18">
        <v>9125.5399999999991</v>
      </c>
      <c r="I293" s="18">
        <v>0</v>
      </c>
      <c r="J293" s="18">
        <v>5132.1100000000006</v>
      </c>
      <c r="K293" s="18">
        <v>0</v>
      </c>
      <c r="L293" s="18">
        <v>153.21</v>
      </c>
      <c r="M293" s="20">
        <v>41368.839999999997</v>
      </c>
      <c r="N293" s="20"/>
      <c r="O293" s="19"/>
    </row>
    <row r="294" spans="1:15" s="16" customFormat="1" hidden="1" x14ac:dyDescent="0.25">
      <c r="A294" s="16" t="s">
        <v>51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11314</v>
      </c>
      <c r="E294" s="16" t="s">
        <v>11315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11316</v>
      </c>
      <c r="E295" s="16" t="s">
        <v>11317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11318</v>
      </c>
      <c r="E296" s="16" t="s">
        <v>11319</v>
      </c>
      <c r="F296" s="18">
        <v>5512552.2200000007</v>
      </c>
      <c r="G296" s="18">
        <v>2498.4299999999998</v>
      </c>
      <c r="H296" s="18">
        <v>61290.36</v>
      </c>
      <c r="I296" s="18">
        <v>0</v>
      </c>
      <c r="J296" s="18">
        <v>0</v>
      </c>
      <c r="K296" s="18">
        <v>0</v>
      </c>
      <c r="L296" s="18">
        <v>0</v>
      </c>
      <c r="M296" s="20">
        <v>5453760.29</v>
      </c>
      <c r="N296" s="20"/>
      <c r="O296" s="19"/>
    </row>
    <row r="297" spans="1:15" s="16" customFormat="1" hidden="1" x14ac:dyDescent="0.25">
      <c r="A297" s="16" t="s">
        <v>51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11320</v>
      </c>
      <c r="E297" s="16" t="s">
        <v>11321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11322</v>
      </c>
      <c r="E298" s="16" t="s">
        <v>11323</v>
      </c>
      <c r="F298" s="18">
        <v>43564129</v>
      </c>
      <c r="G298" s="18">
        <v>8458831</v>
      </c>
      <c r="H298" s="18">
        <v>2927121.64</v>
      </c>
      <c r="I298" s="18">
        <v>0</v>
      </c>
      <c r="J298" s="18">
        <v>0</v>
      </c>
      <c r="K298" s="18">
        <v>0</v>
      </c>
      <c r="L298" s="18">
        <v>0</v>
      </c>
      <c r="M298" s="20">
        <v>49095838.359999999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11324</v>
      </c>
      <c r="E299" s="16" t="s">
        <v>11325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11326</v>
      </c>
      <c r="E300" s="16" t="s">
        <v>11327</v>
      </c>
      <c r="F300" s="18">
        <v>21.16</v>
      </c>
      <c r="G300" s="18">
        <v>0.02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21.18</v>
      </c>
      <c r="N300" s="20"/>
      <c r="O300" s="19"/>
    </row>
    <row r="301" spans="1:15" s="16" customFormat="1" x14ac:dyDescent="0.25">
      <c r="A301" s="16" t="s">
        <v>51</v>
      </c>
      <c r="B301" s="16" t="str">
        <f t="shared" si="4"/>
        <v>show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11328</v>
      </c>
      <c r="E301" s="16" t="s">
        <v>11329</v>
      </c>
      <c r="F301" s="18">
        <v>0</v>
      </c>
      <c r="G301" s="18">
        <v>0</v>
      </c>
      <c r="H301" s="18">
        <v>0</v>
      </c>
      <c r="I301" s="18">
        <v>1999.9999999999998</v>
      </c>
      <c r="J301" s="18">
        <v>0</v>
      </c>
      <c r="K301" s="18">
        <v>0</v>
      </c>
      <c r="L301" s="18">
        <v>0</v>
      </c>
      <c r="M301" s="20">
        <v>1999.9999999999998</v>
      </c>
      <c r="N301" s="20"/>
      <c r="O301" s="19"/>
    </row>
    <row r="302" spans="1:15" s="16" customFormat="1" hidden="1" x14ac:dyDescent="0.25">
      <c r="A302" s="16" t="s">
        <v>51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11330</v>
      </c>
      <c r="E302" s="16" t="s">
        <v>11331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11332</v>
      </c>
      <c r="E303" s="16" t="s">
        <v>11333</v>
      </c>
      <c r="F303" s="18">
        <v>938800.08</v>
      </c>
      <c r="G303" s="18">
        <v>791.88</v>
      </c>
      <c r="H303" s="18">
        <v>611438.22</v>
      </c>
      <c r="I303" s="18">
        <v>1004773</v>
      </c>
      <c r="J303" s="18">
        <v>297131.19</v>
      </c>
      <c r="K303" s="18">
        <v>645.56999999999994</v>
      </c>
      <c r="L303" s="18">
        <v>127436.54000000001</v>
      </c>
      <c r="M303" s="20">
        <v>909004.58000000007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11334</v>
      </c>
      <c r="E304" s="16" t="s">
        <v>11335</v>
      </c>
      <c r="F304" s="18">
        <v>8073581.7199999997</v>
      </c>
      <c r="G304" s="18">
        <v>-873.46</v>
      </c>
      <c r="H304" s="18">
        <v>6538981.9199999999</v>
      </c>
      <c r="I304" s="18">
        <v>0</v>
      </c>
      <c r="J304" s="18">
        <v>961353.66</v>
      </c>
      <c r="K304" s="18">
        <v>3960850.82</v>
      </c>
      <c r="L304" s="18">
        <v>89760.38</v>
      </c>
      <c r="M304" s="20">
        <v>4443463.12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11336</v>
      </c>
      <c r="E305" s="16" t="s">
        <v>11337</v>
      </c>
      <c r="F305" s="18">
        <v>4747.9399999999996</v>
      </c>
      <c r="G305" s="18">
        <v>0</v>
      </c>
      <c r="H305" s="18">
        <v>13371.349999999999</v>
      </c>
      <c r="I305" s="18">
        <v>59223.729999999996</v>
      </c>
      <c r="J305" s="18">
        <v>6404.44</v>
      </c>
      <c r="K305" s="18">
        <v>0</v>
      </c>
      <c r="L305" s="18">
        <v>722.06000000000006</v>
      </c>
      <c r="M305" s="20">
        <v>43473.82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11338</v>
      </c>
      <c r="E306" s="16" t="s">
        <v>11339</v>
      </c>
      <c r="F306" s="18">
        <v>5805094.5099999998</v>
      </c>
      <c r="G306" s="18">
        <v>120564.12</v>
      </c>
      <c r="H306" s="18">
        <v>1130753.01</v>
      </c>
      <c r="I306" s="18">
        <v>49742.250000000007</v>
      </c>
      <c r="J306" s="18">
        <v>161487.93000000002</v>
      </c>
      <c r="K306" s="18">
        <v>652002.59</v>
      </c>
      <c r="L306" s="18">
        <v>42927.93</v>
      </c>
      <c r="M306" s="20">
        <v>5292234.5999999996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11340</v>
      </c>
      <c r="E307" s="16" t="s">
        <v>11341</v>
      </c>
      <c r="F307" s="18">
        <v>11513664.43</v>
      </c>
      <c r="G307" s="18">
        <v>711350.95000000007</v>
      </c>
      <c r="H307" s="18">
        <v>1625644.09</v>
      </c>
      <c r="I307" s="18">
        <v>0</v>
      </c>
      <c r="J307" s="18">
        <v>328565.46999999997</v>
      </c>
      <c r="K307" s="18">
        <v>1081687.83</v>
      </c>
      <c r="L307" s="18">
        <v>28754.969999999998</v>
      </c>
      <c r="M307" s="20">
        <v>11323738.68</v>
      </c>
      <c r="N307" s="20"/>
      <c r="O307" s="19"/>
    </row>
    <row r="308" spans="1:15" s="16" customFormat="1" hidden="1" x14ac:dyDescent="0.25">
      <c r="A308" s="16" t="s">
        <v>51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11342</v>
      </c>
      <c r="E308" s="16" t="s">
        <v>11343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11344</v>
      </c>
      <c r="E309" s="16" t="s">
        <v>11345</v>
      </c>
      <c r="F309" s="18">
        <v>13368.4</v>
      </c>
      <c r="G309" s="18">
        <v>0</v>
      </c>
      <c r="H309" s="18">
        <v>1215.6600000000001</v>
      </c>
      <c r="I309" s="18">
        <v>0</v>
      </c>
      <c r="J309" s="18">
        <v>926.68</v>
      </c>
      <c r="K309" s="18">
        <v>8726.6</v>
      </c>
      <c r="L309" s="18">
        <v>920.15</v>
      </c>
      <c r="M309" s="20">
        <v>19032.509999999998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11346</v>
      </c>
      <c r="E310" s="16" t="s">
        <v>11347</v>
      </c>
      <c r="F310" s="18">
        <v>410.90000000000003</v>
      </c>
      <c r="G310" s="18">
        <v>80.300000000000011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491.2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11348</v>
      </c>
      <c r="E311" s="16" t="s">
        <v>11349</v>
      </c>
      <c r="F311" s="18">
        <v>71891.91</v>
      </c>
      <c r="G311" s="18">
        <v>4493.8899999999994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76374.25</v>
      </c>
      <c r="N311" s="20"/>
      <c r="O311" s="19"/>
    </row>
    <row r="312" spans="1:15" s="16" customFormat="1" x14ac:dyDescent="0.25">
      <c r="A312" s="16" t="s">
        <v>51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11350</v>
      </c>
      <c r="E312" s="16" t="s">
        <v>11351</v>
      </c>
      <c r="F312" s="18">
        <v>31757.670000000002</v>
      </c>
      <c r="G312" s="18">
        <v>999.99999999999989</v>
      </c>
      <c r="H312" s="18">
        <v>0</v>
      </c>
      <c r="I312" s="18">
        <v>0</v>
      </c>
      <c r="J312" s="18">
        <v>0</v>
      </c>
      <c r="K312" s="18">
        <v>23.849999999999998</v>
      </c>
      <c r="L312" s="18">
        <v>0</v>
      </c>
      <c r="M312" s="20">
        <v>32781.519999999997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11352</v>
      </c>
      <c r="E313" s="16" t="s">
        <v>11353</v>
      </c>
      <c r="F313" s="18">
        <v>17108.71</v>
      </c>
      <c r="G313" s="18">
        <v>338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17446.71</v>
      </c>
      <c r="N313" s="20"/>
      <c r="O313" s="19"/>
    </row>
    <row r="314" spans="1:15" s="16" customFormat="1" x14ac:dyDescent="0.25">
      <c r="A314" s="16" t="s">
        <v>51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11354</v>
      </c>
      <c r="E314" s="16" t="s">
        <v>11355</v>
      </c>
      <c r="F314" s="18">
        <v>24231.24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24231.24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11356</v>
      </c>
      <c r="E315" s="16" t="s">
        <v>11357</v>
      </c>
      <c r="F315" s="18">
        <v>1582315.48</v>
      </c>
      <c r="G315" s="18">
        <v>559867.49</v>
      </c>
      <c r="H315" s="18">
        <v>736958.36</v>
      </c>
      <c r="I315" s="18">
        <v>100000.00000000001</v>
      </c>
      <c r="J315" s="18">
        <v>2214.83</v>
      </c>
      <c r="K315" s="18">
        <v>0</v>
      </c>
      <c r="L315" s="18">
        <v>23860.61</v>
      </c>
      <c r="M315" s="20">
        <v>1479149.1700000002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11358</v>
      </c>
      <c r="E316" s="16" t="s">
        <v>11359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11360</v>
      </c>
      <c r="E317" s="16" t="s">
        <v>11361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11362</v>
      </c>
      <c r="E318" s="16" t="s">
        <v>11363</v>
      </c>
      <c r="F318" s="18">
        <v>245730.97999999998</v>
      </c>
      <c r="G318" s="18">
        <v>2756.4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248487.38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11364</v>
      </c>
      <c r="E319" s="16" t="s">
        <v>11365</v>
      </c>
      <c r="F319" s="18">
        <v>7004534.46</v>
      </c>
      <c r="G319" s="18">
        <v>250911.16</v>
      </c>
      <c r="H319" s="18">
        <v>145402.86000000002</v>
      </c>
      <c r="I319" s="18">
        <v>0</v>
      </c>
      <c r="J319" s="18">
        <v>98703.37999999999</v>
      </c>
      <c r="K319" s="18">
        <v>0</v>
      </c>
      <c r="L319" s="18">
        <v>10041.01</v>
      </c>
      <c r="M319" s="20">
        <v>7001298.3700000001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11366</v>
      </c>
      <c r="E320" s="16" t="s">
        <v>11367</v>
      </c>
      <c r="F320" s="18">
        <v>107634.48</v>
      </c>
      <c r="G320" s="18">
        <v>3222.06</v>
      </c>
      <c r="H320" s="18">
        <v>71199.5</v>
      </c>
      <c r="I320" s="18">
        <v>0</v>
      </c>
      <c r="J320" s="18">
        <v>0</v>
      </c>
      <c r="K320" s="18">
        <v>28535.420000000002</v>
      </c>
      <c r="L320" s="18">
        <v>18791.2</v>
      </c>
      <c r="M320" s="20">
        <v>49401.259999999995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11368</v>
      </c>
      <c r="E321" s="16" t="s">
        <v>11369</v>
      </c>
      <c r="F321" s="18">
        <v>332543.48</v>
      </c>
      <c r="G321" s="18">
        <v>1724.9999999999998</v>
      </c>
      <c r="H321" s="18">
        <v>49.65</v>
      </c>
      <c r="I321" s="18">
        <v>0</v>
      </c>
      <c r="J321" s="18">
        <v>0</v>
      </c>
      <c r="K321" s="18">
        <v>0</v>
      </c>
      <c r="L321" s="18">
        <v>0</v>
      </c>
      <c r="M321" s="20">
        <v>334218.83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11370</v>
      </c>
      <c r="E322" s="16" t="s">
        <v>11371</v>
      </c>
      <c r="F322" s="18">
        <v>158354.22999999998</v>
      </c>
      <c r="G322" s="18">
        <v>24920.579999999998</v>
      </c>
      <c r="H322" s="18">
        <v>31113.350000000002</v>
      </c>
      <c r="I322" s="18">
        <v>13581.14</v>
      </c>
      <c r="J322" s="18">
        <v>15221.75</v>
      </c>
      <c r="K322" s="18">
        <v>13145.67</v>
      </c>
      <c r="L322" s="18">
        <v>4319.0199999999995</v>
      </c>
      <c r="M322" s="20">
        <v>159347.5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11372</v>
      </c>
      <c r="E323" s="16" t="s">
        <v>11373</v>
      </c>
      <c r="F323" s="18">
        <v>1014560.34</v>
      </c>
      <c r="G323" s="18">
        <v>390.83000000000004</v>
      </c>
      <c r="H323" s="18">
        <v>84374.930000000008</v>
      </c>
      <c r="I323" s="18">
        <v>0</v>
      </c>
      <c r="J323" s="18">
        <v>43396.670000000006</v>
      </c>
      <c r="K323" s="18">
        <v>0</v>
      </c>
      <c r="L323" s="18">
        <v>627.81000000000006</v>
      </c>
      <c r="M323" s="20">
        <v>886551.76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11374</v>
      </c>
      <c r="E324" s="16" t="s">
        <v>11375</v>
      </c>
      <c r="F324" s="18">
        <v>44725.15</v>
      </c>
      <c r="G324" s="18">
        <v>16.79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44741.94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11376</v>
      </c>
      <c r="E325" s="16" t="s">
        <v>11377</v>
      </c>
      <c r="F325" s="18">
        <v>4948357.0199999996</v>
      </c>
      <c r="G325" s="18">
        <v>8770.86</v>
      </c>
      <c r="H325" s="18">
        <v>647813.36</v>
      </c>
      <c r="I325" s="18">
        <v>0</v>
      </c>
      <c r="J325" s="18">
        <v>321835.39</v>
      </c>
      <c r="K325" s="18">
        <v>0</v>
      </c>
      <c r="L325" s="18">
        <v>36988.82</v>
      </c>
      <c r="M325" s="20">
        <v>3950490.3100000005</v>
      </c>
      <c r="N325" s="20"/>
      <c r="O325" s="19"/>
    </row>
    <row r="326" spans="1:15" s="16" customFormat="1" hidden="1" x14ac:dyDescent="0.25">
      <c r="A326" s="16" t="s">
        <v>51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11378</v>
      </c>
      <c r="E326" s="16" t="s">
        <v>11379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11380</v>
      </c>
      <c r="E327" s="16" t="s">
        <v>11381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11382</v>
      </c>
      <c r="E328" s="16" t="s">
        <v>11383</v>
      </c>
      <c r="F328" s="18">
        <v>939734.57</v>
      </c>
      <c r="G328" s="18">
        <v>405612.19</v>
      </c>
      <c r="H328" s="18">
        <v>291171.45999999996</v>
      </c>
      <c r="I328" s="18">
        <v>0</v>
      </c>
      <c r="J328" s="18">
        <v>107022.62999999999</v>
      </c>
      <c r="K328" s="18">
        <v>0</v>
      </c>
      <c r="L328" s="18">
        <v>15374.38</v>
      </c>
      <c r="M328" s="20">
        <v>931778.29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11384</v>
      </c>
      <c r="E329" s="16" t="s">
        <v>11385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11386</v>
      </c>
      <c r="E330" s="16" t="s">
        <v>11387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11388</v>
      </c>
      <c r="E331" s="16" t="s">
        <v>11389</v>
      </c>
      <c r="F331" s="18">
        <v>5682796.6900000004</v>
      </c>
      <c r="G331" s="18">
        <v>1019438.84</v>
      </c>
      <c r="H331" s="18">
        <v>16834.25</v>
      </c>
      <c r="I331" s="18">
        <v>0</v>
      </c>
      <c r="J331" s="18">
        <v>13368.509999999998</v>
      </c>
      <c r="K331" s="18">
        <v>0</v>
      </c>
      <c r="L331" s="18">
        <v>675.95</v>
      </c>
      <c r="M331" s="20">
        <v>6671356.8200000003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11390</v>
      </c>
      <c r="E332" s="16" t="s">
        <v>11391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11392</v>
      </c>
      <c r="E333" s="16" t="s">
        <v>11393</v>
      </c>
      <c r="F333" s="18">
        <v>1989296.4</v>
      </c>
      <c r="G333" s="18">
        <v>54743.66</v>
      </c>
      <c r="H333" s="18">
        <v>106172.47</v>
      </c>
      <c r="I333" s="18">
        <v>0</v>
      </c>
      <c r="J333" s="18">
        <v>10240.93</v>
      </c>
      <c r="K333" s="18">
        <v>0</v>
      </c>
      <c r="L333" s="18">
        <v>986.81</v>
      </c>
      <c r="M333" s="20">
        <v>1926639.8499999999</v>
      </c>
      <c r="N333" s="20"/>
      <c r="O333" s="19"/>
    </row>
    <row r="334" spans="1:15" s="16" customFormat="1" hidden="1" x14ac:dyDescent="0.25">
      <c r="A334" s="16" t="s">
        <v>51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11394</v>
      </c>
      <c r="E334" s="16" t="s">
        <v>11395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11396</v>
      </c>
      <c r="E335" s="16" t="s">
        <v>11397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11398</v>
      </c>
      <c r="E336" s="16" t="s">
        <v>11399</v>
      </c>
      <c r="F336" s="18">
        <v>1365441.82</v>
      </c>
      <c r="G336" s="18">
        <v>233435</v>
      </c>
      <c r="H336" s="18">
        <v>0</v>
      </c>
      <c r="I336" s="18">
        <v>0</v>
      </c>
      <c r="J336" s="18">
        <v>13833.890000000001</v>
      </c>
      <c r="K336" s="18">
        <v>600</v>
      </c>
      <c r="L336" s="18">
        <v>0</v>
      </c>
      <c r="M336" s="20">
        <v>1585642.9300000002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11400</v>
      </c>
      <c r="E337" s="16" t="s">
        <v>11401</v>
      </c>
      <c r="F337" s="18">
        <v>302474.65000000002</v>
      </c>
      <c r="G337" s="18">
        <v>9045.2100000000009</v>
      </c>
      <c r="H337" s="18">
        <v>211.73999999999998</v>
      </c>
      <c r="I337" s="18">
        <v>0</v>
      </c>
      <c r="J337" s="18">
        <v>5985.99</v>
      </c>
      <c r="K337" s="18">
        <v>156</v>
      </c>
      <c r="L337" s="18">
        <v>0</v>
      </c>
      <c r="M337" s="20">
        <v>305478.13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11402</v>
      </c>
      <c r="E338" s="16" t="s">
        <v>11403</v>
      </c>
      <c r="F338" s="18">
        <v>0</v>
      </c>
      <c r="G338" s="18">
        <v>27572.109999999997</v>
      </c>
      <c r="H338" s="18">
        <v>27572.109999999997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11404</v>
      </c>
      <c r="E339" s="16" t="s">
        <v>11405</v>
      </c>
      <c r="F339" s="18">
        <v>590109.31999999995</v>
      </c>
      <c r="G339" s="18">
        <v>4330.04</v>
      </c>
      <c r="H339" s="18">
        <v>5506.77</v>
      </c>
      <c r="I339" s="18">
        <v>1105.3599999999999</v>
      </c>
      <c r="J339" s="18">
        <v>2531.23</v>
      </c>
      <c r="K339" s="18">
        <v>0</v>
      </c>
      <c r="L339" s="18">
        <v>0</v>
      </c>
      <c r="M339" s="20">
        <v>587506.72</v>
      </c>
      <c r="N339" s="20"/>
      <c r="O339" s="19"/>
    </row>
    <row r="340" spans="1:15" s="16" customFormat="1" x14ac:dyDescent="0.25">
      <c r="A340" s="16" t="s">
        <v>51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11406</v>
      </c>
      <c r="E340" s="16" t="s">
        <v>11407</v>
      </c>
      <c r="F340" s="18">
        <v>6283443.7999999998</v>
      </c>
      <c r="G340" s="18">
        <v>1486423.04</v>
      </c>
      <c r="H340" s="18">
        <v>836971.16999999993</v>
      </c>
      <c r="I340" s="18">
        <v>0</v>
      </c>
      <c r="J340" s="18">
        <v>404863.7</v>
      </c>
      <c r="K340" s="18">
        <v>0</v>
      </c>
      <c r="L340" s="18">
        <v>56029.670000000006</v>
      </c>
      <c r="M340" s="20">
        <v>6472002.3000000007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11408</v>
      </c>
      <c r="E341" s="16" t="s">
        <v>11409</v>
      </c>
      <c r="F341" s="18">
        <v>113227.54000000001</v>
      </c>
      <c r="G341" s="18">
        <v>0</v>
      </c>
      <c r="H341" s="18">
        <v>29081.26</v>
      </c>
      <c r="I341" s="18">
        <v>0</v>
      </c>
      <c r="J341" s="18">
        <v>0</v>
      </c>
      <c r="K341" s="18">
        <v>0</v>
      </c>
      <c r="L341" s="18">
        <v>0</v>
      </c>
      <c r="M341" s="20">
        <v>84146.28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11410</v>
      </c>
      <c r="E342" s="16" t="s">
        <v>11411</v>
      </c>
      <c r="F342" s="18">
        <v>41756648.520000003</v>
      </c>
      <c r="G342" s="18">
        <v>559649.66</v>
      </c>
      <c r="H342" s="18">
        <v>907379.37</v>
      </c>
      <c r="I342" s="18">
        <v>0</v>
      </c>
      <c r="J342" s="18">
        <v>310636.90999999997</v>
      </c>
      <c r="K342" s="18">
        <v>2101.7799999999997</v>
      </c>
      <c r="L342" s="18">
        <v>41616.639999999999</v>
      </c>
      <c r="M342" s="20">
        <v>41058767.039999999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11412</v>
      </c>
      <c r="E343" s="16" t="s">
        <v>11413</v>
      </c>
      <c r="F343" s="18">
        <v>4920715.2</v>
      </c>
      <c r="G343" s="18">
        <v>80472.47</v>
      </c>
      <c r="H343" s="18">
        <v>194017.40000000002</v>
      </c>
      <c r="I343" s="18">
        <v>0</v>
      </c>
      <c r="J343" s="18">
        <v>33704.740000000005</v>
      </c>
      <c r="K343" s="18">
        <v>0</v>
      </c>
      <c r="L343" s="18">
        <v>856.93999999999994</v>
      </c>
      <c r="M343" s="20">
        <v>4772608.59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11414</v>
      </c>
      <c r="E344" s="16" t="s">
        <v>11415</v>
      </c>
      <c r="F344" s="18">
        <v>15505841.27</v>
      </c>
      <c r="G344" s="18">
        <v>541077.87</v>
      </c>
      <c r="H344" s="18">
        <v>258511.96</v>
      </c>
      <c r="I344" s="18">
        <v>0</v>
      </c>
      <c r="J344" s="18">
        <v>150948.89000000001</v>
      </c>
      <c r="K344" s="18">
        <v>272.3</v>
      </c>
      <c r="L344" s="18">
        <v>2618.5500000000002</v>
      </c>
      <c r="M344" s="20">
        <v>15635112.040000001</v>
      </c>
      <c r="N344" s="20"/>
      <c r="O344" s="19"/>
    </row>
    <row r="345" spans="1:15" s="16" customFormat="1" hidden="1" x14ac:dyDescent="0.25">
      <c r="A345" s="16" t="s">
        <v>51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11416</v>
      </c>
      <c r="E345" s="16" t="s">
        <v>11417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11418</v>
      </c>
      <c r="E346" s="16" t="s">
        <v>11419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11420</v>
      </c>
      <c r="E347" s="16" t="s">
        <v>11421</v>
      </c>
      <c r="F347" s="18">
        <v>126.74999999999999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126.74999999999999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11422</v>
      </c>
      <c r="E348" s="16" t="s">
        <v>11423</v>
      </c>
      <c r="F348" s="18">
        <v>382731.37</v>
      </c>
      <c r="G348" s="18">
        <v>108254.00000000001</v>
      </c>
      <c r="H348" s="18">
        <v>0</v>
      </c>
      <c r="I348" s="18">
        <v>0</v>
      </c>
      <c r="J348" s="18">
        <v>28588.01</v>
      </c>
      <c r="K348" s="18">
        <v>0</v>
      </c>
      <c r="L348" s="18">
        <v>0</v>
      </c>
      <c r="M348" s="20">
        <v>462397.36000000004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11424</v>
      </c>
      <c r="E349" s="16" t="s">
        <v>11425</v>
      </c>
      <c r="F349" s="18">
        <v>248025.87</v>
      </c>
      <c r="G349" s="18">
        <v>118.50999999999999</v>
      </c>
      <c r="H349" s="18">
        <v>798.81000000000006</v>
      </c>
      <c r="I349" s="18">
        <v>0</v>
      </c>
      <c r="J349" s="18">
        <v>1937.2499999999998</v>
      </c>
      <c r="K349" s="18">
        <v>0</v>
      </c>
      <c r="L349" s="18">
        <v>138.9</v>
      </c>
      <c r="M349" s="20">
        <v>245269.41999999998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11426</v>
      </c>
      <c r="E350" s="16" t="s">
        <v>11427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11428</v>
      </c>
      <c r="E351" s="16" t="s">
        <v>11429</v>
      </c>
      <c r="F351" s="18">
        <v>2070480.4300000002</v>
      </c>
      <c r="G351" s="18">
        <v>87245.01</v>
      </c>
      <c r="H351" s="18">
        <v>86324.680000000008</v>
      </c>
      <c r="I351" s="18">
        <v>0</v>
      </c>
      <c r="J351" s="18">
        <v>44412.78</v>
      </c>
      <c r="K351" s="18">
        <v>0</v>
      </c>
      <c r="L351" s="18">
        <v>215.79</v>
      </c>
      <c r="M351" s="20">
        <v>2026772.19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11430</v>
      </c>
      <c r="E352" s="16" t="s">
        <v>11431</v>
      </c>
      <c r="F352" s="18">
        <v>738495</v>
      </c>
      <c r="G352" s="18">
        <v>27405.8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765900.80000000005</v>
      </c>
      <c r="N352" s="20"/>
      <c r="O352" s="19"/>
    </row>
    <row r="353" spans="1:15" s="16" customFormat="1" x14ac:dyDescent="0.25">
      <c r="A353" s="16" t="s">
        <v>51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11432</v>
      </c>
      <c r="E353" s="16" t="s">
        <v>11433</v>
      </c>
      <c r="F353" s="18">
        <v>473787.51999999996</v>
      </c>
      <c r="G353" s="18">
        <v>217.08999999999997</v>
      </c>
      <c r="H353" s="18">
        <v>15.48</v>
      </c>
      <c r="I353" s="18">
        <v>1776.0000000000002</v>
      </c>
      <c r="J353" s="18">
        <v>0</v>
      </c>
      <c r="K353" s="18">
        <v>0</v>
      </c>
      <c r="L353" s="18">
        <v>371.63</v>
      </c>
      <c r="M353" s="20">
        <v>475393.50000000006</v>
      </c>
      <c r="N353" s="20"/>
      <c r="O353" s="19"/>
    </row>
    <row r="354" spans="1:15" s="16" customFormat="1" x14ac:dyDescent="0.25">
      <c r="A354" s="16" t="s">
        <v>51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11434</v>
      </c>
      <c r="E354" s="16" t="s">
        <v>11435</v>
      </c>
      <c r="F354" s="18">
        <v>901828.78</v>
      </c>
      <c r="G354" s="18">
        <v>5500</v>
      </c>
      <c r="H354" s="18">
        <v>0</v>
      </c>
      <c r="I354" s="18">
        <v>0</v>
      </c>
      <c r="J354" s="18">
        <v>39399.49</v>
      </c>
      <c r="K354" s="18">
        <v>0</v>
      </c>
      <c r="L354" s="18">
        <v>0</v>
      </c>
      <c r="M354" s="20">
        <v>867929.29</v>
      </c>
      <c r="N354" s="20"/>
      <c r="O354" s="19"/>
    </row>
    <row r="355" spans="1:15" s="16" customFormat="1" x14ac:dyDescent="0.25">
      <c r="A355" s="16" t="s">
        <v>51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11436</v>
      </c>
      <c r="E355" s="16" t="s">
        <v>11437</v>
      </c>
      <c r="F355" s="18">
        <v>2769.5099999999998</v>
      </c>
      <c r="G355" s="18">
        <v>75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2844.5099999999998</v>
      </c>
      <c r="N355" s="20"/>
      <c r="O355" s="19"/>
    </row>
    <row r="356" spans="1:15" s="16" customFormat="1" x14ac:dyDescent="0.25">
      <c r="A356" s="16" t="s">
        <v>51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11438</v>
      </c>
      <c r="E356" s="16" t="s">
        <v>11439</v>
      </c>
      <c r="F356" s="18">
        <v>186517.25</v>
      </c>
      <c r="G356" s="18">
        <v>113163</v>
      </c>
      <c r="H356" s="18">
        <v>24942.28</v>
      </c>
      <c r="I356" s="18">
        <v>0</v>
      </c>
      <c r="J356" s="18">
        <v>14283.28</v>
      </c>
      <c r="K356" s="18">
        <v>0</v>
      </c>
      <c r="L356" s="18">
        <v>667.13</v>
      </c>
      <c r="M356" s="20">
        <v>259787.56000000003</v>
      </c>
      <c r="N356" s="20"/>
      <c r="O356" s="19"/>
    </row>
    <row r="357" spans="1:15" s="16" customFormat="1" x14ac:dyDescent="0.25">
      <c r="A357" s="16" t="s">
        <v>51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11440</v>
      </c>
      <c r="E357" s="16" t="s">
        <v>11441</v>
      </c>
      <c r="F357" s="18">
        <v>1124.73</v>
      </c>
      <c r="G357" s="18">
        <v>0.17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1124.8999999999999</v>
      </c>
      <c r="N357" s="20"/>
      <c r="O357" s="19"/>
    </row>
    <row r="358" spans="1:15" s="16" customFormat="1" hidden="1" x14ac:dyDescent="0.25">
      <c r="A358" s="16" t="s">
        <v>51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11442</v>
      </c>
      <c r="E358" s="16" t="s">
        <v>11443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11444</v>
      </c>
      <c r="E359" s="16" t="s">
        <v>11445</v>
      </c>
      <c r="F359" s="18">
        <v>403485.56999999995</v>
      </c>
      <c r="G359" s="18">
        <v>27180.07</v>
      </c>
      <c r="H359" s="18">
        <v>28807.75</v>
      </c>
      <c r="I359" s="18">
        <v>0</v>
      </c>
      <c r="J359" s="18">
        <v>23811.51</v>
      </c>
      <c r="K359" s="18">
        <v>0</v>
      </c>
      <c r="L359" s="18">
        <v>498.85</v>
      </c>
      <c r="M359" s="20">
        <v>377547.52999999997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11446</v>
      </c>
      <c r="E360" s="16" t="s">
        <v>11447</v>
      </c>
      <c r="F360" s="18">
        <v>38243905.350000001</v>
      </c>
      <c r="G360" s="18">
        <v>1521767.72</v>
      </c>
      <c r="H360" s="18">
        <v>826875.94</v>
      </c>
      <c r="I360" s="18">
        <v>0</v>
      </c>
      <c r="J360" s="18">
        <v>97944.430000000008</v>
      </c>
      <c r="K360" s="18">
        <v>56.48</v>
      </c>
      <c r="L360" s="18">
        <v>1277.49</v>
      </c>
      <c r="M360" s="20">
        <v>38839631.690000005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11448</v>
      </c>
      <c r="E361" s="16" t="s">
        <v>11449</v>
      </c>
      <c r="F361" s="18">
        <v>149033.16</v>
      </c>
      <c r="G361" s="18">
        <v>102999.99999999999</v>
      </c>
      <c r="H361" s="18">
        <v>3942.2599999999998</v>
      </c>
      <c r="I361" s="18">
        <v>0</v>
      </c>
      <c r="J361" s="18">
        <v>5827.79</v>
      </c>
      <c r="K361" s="18">
        <v>225</v>
      </c>
      <c r="L361" s="18">
        <v>183.66</v>
      </c>
      <c r="M361" s="20">
        <v>242304.44999999998</v>
      </c>
      <c r="N361" s="20"/>
      <c r="O361" s="19"/>
    </row>
    <row r="362" spans="1:15" s="16" customFormat="1" x14ac:dyDescent="0.25">
      <c r="A362" s="16" t="s">
        <v>51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11450</v>
      </c>
      <c r="E362" s="16" t="s">
        <v>11451</v>
      </c>
      <c r="F362" s="18">
        <v>515242.20999999996</v>
      </c>
      <c r="G362" s="18">
        <v>2571.5500000000002</v>
      </c>
      <c r="H362" s="18">
        <v>59952.59</v>
      </c>
      <c r="I362" s="18">
        <v>0</v>
      </c>
      <c r="J362" s="18">
        <v>7048.93</v>
      </c>
      <c r="K362" s="18">
        <v>0</v>
      </c>
      <c r="L362" s="18">
        <v>22119.899999999998</v>
      </c>
      <c r="M362" s="20">
        <v>428692.33999999997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11452</v>
      </c>
      <c r="E363" s="16" t="s">
        <v>11453</v>
      </c>
      <c r="F363" s="18">
        <v>1578624.9000000001</v>
      </c>
      <c r="G363" s="18">
        <v>22905</v>
      </c>
      <c r="H363" s="18">
        <v>62325.75</v>
      </c>
      <c r="I363" s="18">
        <v>0</v>
      </c>
      <c r="J363" s="18">
        <v>40021.26</v>
      </c>
      <c r="K363" s="18">
        <v>0</v>
      </c>
      <c r="L363" s="18">
        <v>4394.88</v>
      </c>
      <c r="M363" s="20">
        <v>1494788.01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11454</v>
      </c>
      <c r="E364" s="16" t="s">
        <v>11455</v>
      </c>
      <c r="F364" s="18">
        <v>16859.739999999998</v>
      </c>
      <c r="G364" s="18">
        <v>1700</v>
      </c>
      <c r="H364" s="18">
        <v>0</v>
      </c>
      <c r="I364" s="18">
        <v>0</v>
      </c>
      <c r="J364" s="18">
        <v>0</v>
      </c>
      <c r="K364" s="18">
        <v>0</v>
      </c>
      <c r="L364" s="18">
        <v>42.74</v>
      </c>
      <c r="M364" s="20">
        <v>18517</v>
      </c>
      <c r="N364" s="20"/>
      <c r="O364" s="19"/>
    </row>
    <row r="365" spans="1:15" s="16" customFormat="1" x14ac:dyDescent="0.25">
      <c r="A365" s="16" t="s">
        <v>51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11456</v>
      </c>
      <c r="E365" s="16" t="s">
        <v>11457</v>
      </c>
      <c r="F365" s="18">
        <v>19497.77</v>
      </c>
      <c r="G365" s="18">
        <v>5444.26</v>
      </c>
      <c r="H365" s="18">
        <v>6640.42</v>
      </c>
      <c r="I365" s="18">
        <v>0</v>
      </c>
      <c r="J365" s="18">
        <v>0</v>
      </c>
      <c r="K365" s="18">
        <v>0</v>
      </c>
      <c r="L365" s="18">
        <v>0</v>
      </c>
      <c r="M365" s="20">
        <v>18301.61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11458</v>
      </c>
      <c r="E366" s="16" t="s">
        <v>11459</v>
      </c>
      <c r="F366" s="18">
        <v>685476.9</v>
      </c>
      <c r="G366" s="18">
        <v>71178.37000000001</v>
      </c>
      <c r="H366" s="18">
        <v>63148.76</v>
      </c>
      <c r="I366" s="18">
        <v>0</v>
      </c>
      <c r="J366" s="18">
        <v>0</v>
      </c>
      <c r="K366" s="18">
        <v>0</v>
      </c>
      <c r="L366" s="18">
        <v>0</v>
      </c>
      <c r="M366" s="20">
        <v>693506.51</v>
      </c>
      <c r="N366" s="20"/>
      <c r="O366" s="19"/>
    </row>
    <row r="367" spans="1:15" s="16" customFormat="1" x14ac:dyDescent="0.25">
      <c r="A367" s="16" t="s">
        <v>51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11460</v>
      </c>
      <c r="E367" s="16" t="s">
        <v>11461</v>
      </c>
      <c r="F367" s="18">
        <v>3751078.3200000003</v>
      </c>
      <c r="G367" s="18">
        <v>-16141.88</v>
      </c>
      <c r="H367" s="18">
        <v>73143.27</v>
      </c>
      <c r="I367" s="18">
        <v>0</v>
      </c>
      <c r="J367" s="18">
        <v>2805.01</v>
      </c>
      <c r="K367" s="18">
        <v>0</v>
      </c>
      <c r="L367" s="18">
        <v>3.87</v>
      </c>
      <c r="M367" s="20">
        <v>3658984.2899999996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11462</v>
      </c>
      <c r="E368" s="16" t="s">
        <v>11463</v>
      </c>
      <c r="F368" s="18">
        <v>2897.31</v>
      </c>
      <c r="G368" s="18">
        <v>41.5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2938.81</v>
      </c>
      <c r="N368" s="20"/>
      <c r="O368" s="19"/>
    </row>
    <row r="369" spans="1:15" s="16" customFormat="1" hidden="1" x14ac:dyDescent="0.25">
      <c r="A369" s="16" t="s">
        <v>51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11464</v>
      </c>
      <c r="E369" s="16" t="s">
        <v>11465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11466</v>
      </c>
      <c r="E370" s="16" t="s">
        <v>11467</v>
      </c>
      <c r="F370" s="18">
        <v>7380250.9299999997</v>
      </c>
      <c r="G370" s="18">
        <v>51434.39</v>
      </c>
      <c r="H370" s="18">
        <v>322078.83</v>
      </c>
      <c r="I370" s="18">
        <v>0</v>
      </c>
      <c r="J370" s="18">
        <v>268733.90999999997</v>
      </c>
      <c r="K370" s="18">
        <v>63.12</v>
      </c>
      <c r="L370" s="18">
        <v>17175.77</v>
      </c>
      <c r="M370" s="20">
        <v>6823759.9299999997</v>
      </c>
      <c r="N370" s="20"/>
      <c r="O370" s="19"/>
    </row>
    <row r="371" spans="1:15" s="16" customFormat="1" hidden="1" x14ac:dyDescent="0.25">
      <c r="A371" s="16" t="s">
        <v>51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11468</v>
      </c>
      <c r="E371" s="16" t="s">
        <v>11469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11470</v>
      </c>
      <c r="E372" s="16" t="s">
        <v>11471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11472</v>
      </c>
      <c r="E373" s="16" t="s">
        <v>11473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11474</v>
      </c>
      <c r="E374" s="16" t="s">
        <v>11475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11476</v>
      </c>
      <c r="E375" s="16" t="s">
        <v>11477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11478</v>
      </c>
      <c r="E376" s="16" t="s">
        <v>11479</v>
      </c>
      <c r="F376" s="18">
        <v>2523195.98</v>
      </c>
      <c r="G376" s="18">
        <v>1710.1399999999999</v>
      </c>
      <c r="H376" s="18">
        <v>43440.66</v>
      </c>
      <c r="I376" s="18">
        <v>0</v>
      </c>
      <c r="J376" s="18">
        <v>18598.280000000002</v>
      </c>
      <c r="K376" s="18">
        <v>0</v>
      </c>
      <c r="L376" s="18">
        <v>4173.5599999999995</v>
      </c>
      <c r="M376" s="20">
        <v>2458693.62</v>
      </c>
      <c r="N376" s="20"/>
      <c r="O376" s="19"/>
    </row>
    <row r="377" spans="1:15" s="16" customFormat="1" hidden="1" x14ac:dyDescent="0.25">
      <c r="A377" s="16" t="s">
        <v>51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11480</v>
      </c>
      <c r="E377" s="16" t="s">
        <v>11481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11482</v>
      </c>
      <c r="E378" s="16" t="s">
        <v>11483</v>
      </c>
      <c r="F378" s="18">
        <v>527553549.72999996</v>
      </c>
      <c r="G378" s="18">
        <v>356119.18</v>
      </c>
      <c r="H378" s="18">
        <v>11201870.34</v>
      </c>
      <c r="I378" s="18">
        <v>0</v>
      </c>
      <c r="J378" s="18">
        <v>0</v>
      </c>
      <c r="K378" s="18">
        <v>0</v>
      </c>
      <c r="L378" s="18">
        <v>0</v>
      </c>
      <c r="M378" s="20">
        <v>516707798.56999999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11484</v>
      </c>
      <c r="E379" s="16" t="s">
        <v>11485</v>
      </c>
      <c r="F379" s="18">
        <v>216128.83999999997</v>
      </c>
      <c r="G379" s="18">
        <v>0</v>
      </c>
      <c r="H379" s="18">
        <v>2814.16</v>
      </c>
      <c r="I379" s="18">
        <v>0</v>
      </c>
      <c r="J379" s="18">
        <v>0</v>
      </c>
      <c r="K379" s="18">
        <v>0</v>
      </c>
      <c r="L379" s="18">
        <v>0</v>
      </c>
      <c r="M379" s="20">
        <v>213314.68</v>
      </c>
      <c r="N379" s="20"/>
      <c r="O379" s="19"/>
    </row>
    <row r="380" spans="1:15" s="16" customFormat="1" hidden="1" x14ac:dyDescent="0.25">
      <c r="A380" s="16" t="s">
        <v>51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11486</v>
      </c>
      <c r="E380" s="16" t="s">
        <v>11487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11488</v>
      </c>
      <c r="E381" s="16" t="s">
        <v>11489</v>
      </c>
      <c r="F381" s="18">
        <v>65403.530000000006</v>
      </c>
      <c r="G381" s="18">
        <v>32.07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65435.600000000006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11490</v>
      </c>
      <c r="E382" s="16" t="s">
        <v>11491</v>
      </c>
      <c r="F382" s="18">
        <v>17521944.649999999</v>
      </c>
      <c r="G382" s="18">
        <v>470660.53</v>
      </c>
      <c r="H382" s="18">
        <v>795155.98</v>
      </c>
      <c r="I382" s="18">
        <v>0</v>
      </c>
      <c r="J382" s="18">
        <v>2256536.8199999998</v>
      </c>
      <c r="K382" s="18">
        <v>0</v>
      </c>
      <c r="L382" s="18">
        <v>10015.969999999999</v>
      </c>
      <c r="M382" s="20">
        <v>14930896.41</v>
      </c>
      <c r="N382" s="20"/>
      <c r="O382" s="19"/>
    </row>
    <row r="383" spans="1:15" s="16" customFormat="1" hidden="1" x14ac:dyDescent="0.25">
      <c r="A383" s="16" t="s">
        <v>51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11492</v>
      </c>
      <c r="E383" s="16" t="s">
        <v>11493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11494</v>
      </c>
      <c r="E384" s="16" t="s">
        <v>11495</v>
      </c>
      <c r="F384" s="18">
        <v>5768643.2199999997</v>
      </c>
      <c r="G384" s="18">
        <v>10335.710000000001</v>
      </c>
      <c r="H384" s="18">
        <v>979930.22000000009</v>
      </c>
      <c r="I384" s="18">
        <v>166.25</v>
      </c>
      <c r="J384" s="18">
        <v>486815.84</v>
      </c>
      <c r="K384" s="18">
        <v>0</v>
      </c>
      <c r="L384" s="18">
        <v>23936.84</v>
      </c>
      <c r="M384" s="20">
        <v>4288462.28</v>
      </c>
      <c r="N384" s="20"/>
      <c r="O384" s="19"/>
    </row>
    <row r="385" spans="1:15" s="16" customFormat="1" hidden="1" x14ac:dyDescent="0.25">
      <c r="A385" s="16" t="s">
        <v>51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11496</v>
      </c>
      <c r="E385" s="16" t="s">
        <v>11497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11498</v>
      </c>
      <c r="E386" s="16" t="s">
        <v>11499</v>
      </c>
      <c r="F386" s="18">
        <v>97039455.140000001</v>
      </c>
      <c r="G386" s="18">
        <v>21817470.400000002</v>
      </c>
      <c r="H386" s="18">
        <v>11316435.75</v>
      </c>
      <c r="I386" s="18">
        <v>0</v>
      </c>
      <c r="J386" s="18">
        <v>1664452.71</v>
      </c>
      <c r="K386" s="18">
        <v>55925.000000000007</v>
      </c>
      <c r="L386" s="18">
        <v>7059.29</v>
      </c>
      <c r="M386" s="20">
        <v>105924902.78999999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12279</v>
      </c>
      <c r="E387" s="16" t="s">
        <v>11500</v>
      </c>
      <c r="F387" s="18">
        <v>103771281.60000001</v>
      </c>
      <c r="G387" s="18">
        <v>45463743.219999999</v>
      </c>
      <c r="H387" s="18">
        <v>53222075.869999997</v>
      </c>
      <c r="I387" s="18">
        <v>0</v>
      </c>
      <c r="J387" s="18">
        <v>6767880.879999999</v>
      </c>
      <c r="K387" s="18">
        <v>1279813.22</v>
      </c>
      <c r="L387" s="18">
        <v>527981.27</v>
      </c>
      <c r="M387" s="20">
        <v>89996900.019999996</v>
      </c>
      <c r="N387" s="20"/>
      <c r="O387" s="19"/>
    </row>
    <row r="388" spans="1:15" s="16" customFormat="1" hidden="1" x14ac:dyDescent="0.25">
      <c r="A388" s="16" t="s">
        <v>51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11501</v>
      </c>
      <c r="E388" s="16" t="s">
        <v>11502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11503</v>
      </c>
      <c r="E389" s="16" t="s">
        <v>11504</v>
      </c>
      <c r="F389" s="18">
        <v>15512268.979999999</v>
      </c>
      <c r="G389" s="18">
        <v>4409458.6800000006</v>
      </c>
      <c r="H389" s="18">
        <v>2337677.6</v>
      </c>
      <c r="I389" s="18">
        <v>0</v>
      </c>
      <c r="J389" s="18">
        <v>1304688.0900000001</v>
      </c>
      <c r="K389" s="18">
        <v>3900</v>
      </c>
      <c r="L389" s="18">
        <v>181805.50999999998</v>
      </c>
      <c r="M389" s="20">
        <v>16101456.460000001</v>
      </c>
      <c r="N389" s="20"/>
      <c r="O389" s="19"/>
    </row>
    <row r="390" spans="1:15" s="16" customFormat="1" x14ac:dyDescent="0.25">
      <c r="A390" s="16" t="s">
        <v>51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11505</v>
      </c>
      <c r="E390" s="16" t="s">
        <v>11506</v>
      </c>
      <c r="F390" s="18">
        <v>16280457.82</v>
      </c>
      <c r="G390" s="18">
        <v>4407378.25</v>
      </c>
      <c r="H390" s="18">
        <v>1315640.7</v>
      </c>
      <c r="I390" s="18">
        <v>0</v>
      </c>
      <c r="J390" s="18">
        <v>91134.83</v>
      </c>
      <c r="K390" s="18">
        <v>0</v>
      </c>
      <c r="L390" s="18">
        <v>54302.400000000001</v>
      </c>
      <c r="M390" s="20">
        <v>19226758.140000001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11507</v>
      </c>
      <c r="E391" s="16" t="s">
        <v>11508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11509</v>
      </c>
      <c r="E392" s="16" t="s">
        <v>11510</v>
      </c>
      <c r="F392" s="18">
        <v>3181288.29</v>
      </c>
      <c r="G392" s="18">
        <v>3596461.86</v>
      </c>
      <c r="H392" s="18">
        <v>137951427.94999999</v>
      </c>
      <c r="I392" s="18">
        <v>134807789.01999998</v>
      </c>
      <c r="J392" s="18">
        <v>0</v>
      </c>
      <c r="K392" s="18">
        <v>0</v>
      </c>
      <c r="L392" s="18">
        <v>234805</v>
      </c>
      <c r="M392" s="20">
        <v>3399306.22</v>
      </c>
      <c r="N392" s="20"/>
      <c r="O392" s="19"/>
    </row>
    <row r="393" spans="1:15" s="16" customFormat="1" hidden="1" x14ac:dyDescent="0.25">
      <c r="A393" s="16" t="s">
        <v>51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11511</v>
      </c>
      <c r="E393" s="16" t="s">
        <v>11512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11513</v>
      </c>
      <c r="E394" s="16" t="s">
        <v>11514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11515</v>
      </c>
      <c r="E395" s="16" t="s">
        <v>11516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11517</v>
      </c>
      <c r="E396" s="16" t="s">
        <v>11518</v>
      </c>
      <c r="F396" s="18">
        <v>777232.01</v>
      </c>
      <c r="G396" s="18">
        <v>56194.119999999995</v>
      </c>
      <c r="H396" s="18">
        <v>0</v>
      </c>
      <c r="I396" s="18">
        <v>0</v>
      </c>
      <c r="J396" s="18">
        <v>648069.04</v>
      </c>
      <c r="K396" s="18">
        <v>0</v>
      </c>
      <c r="L396" s="18">
        <v>0</v>
      </c>
      <c r="M396" s="20">
        <v>185357.09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11519</v>
      </c>
      <c r="E397" s="16" t="s">
        <v>11520</v>
      </c>
      <c r="F397" s="18">
        <v>2236051.44</v>
      </c>
      <c r="G397" s="18">
        <v>11.6</v>
      </c>
      <c r="H397" s="18">
        <v>56849.07</v>
      </c>
      <c r="I397" s="18">
        <v>0</v>
      </c>
      <c r="J397" s="18">
        <v>420.45000000000005</v>
      </c>
      <c r="K397" s="18">
        <v>0</v>
      </c>
      <c r="L397" s="18">
        <v>7570.07</v>
      </c>
      <c r="M397" s="20">
        <v>2171223.4500000002</v>
      </c>
      <c r="N397" s="20"/>
      <c r="O397" s="19"/>
    </row>
    <row r="398" spans="1:15" s="16" customFormat="1" x14ac:dyDescent="0.25">
      <c r="A398" s="16" t="s">
        <v>51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12280</v>
      </c>
      <c r="E398" s="16" t="s">
        <v>11521</v>
      </c>
      <c r="F398" s="18">
        <v>12315424.870000001</v>
      </c>
      <c r="G398" s="18">
        <v>185536.86000000002</v>
      </c>
      <c r="H398" s="18">
        <v>2984246.48</v>
      </c>
      <c r="I398" s="18">
        <v>0</v>
      </c>
      <c r="J398" s="18">
        <v>0</v>
      </c>
      <c r="K398" s="18">
        <v>0</v>
      </c>
      <c r="L398" s="18">
        <v>0</v>
      </c>
      <c r="M398" s="20">
        <v>9516715.25</v>
      </c>
      <c r="N398" s="20"/>
      <c r="O398" s="19"/>
    </row>
    <row r="399" spans="1:15" s="16" customFormat="1" x14ac:dyDescent="0.25">
      <c r="A399" s="16" t="s">
        <v>51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11522</v>
      </c>
      <c r="E399" s="16" t="s">
        <v>11523</v>
      </c>
      <c r="F399" s="18">
        <v>7975206.8200000003</v>
      </c>
      <c r="G399" s="18">
        <v>0</v>
      </c>
      <c r="H399" s="18">
        <v>3075600</v>
      </c>
      <c r="I399" s="18">
        <v>0</v>
      </c>
      <c r="J399" s="18">
        <v>0</v>
      </c>
      <c r="K399" s="18">
        <v>0</v>
      </c>
      <c r="L399" s="18">
        <v>0</v>
      </c>
      <c r="M399" s="20">
        <v>4899606.8199999994</v>
      </c>
      <c r="N399" s="20"/>
      <c r="O399" s="19"/>
    </row>
    <row r="400" spans="1:15" s="16" customFormat="1" x14ac:dyDescent="0.25">
      <c r="A400" s="16" t="s">
        <v>51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11524</v>
      </c>
      <c r="E400" s="16" t="s">
        <v>11525</v>
      </c>
      <c r="F400" s="18">
        <v>27030.799999999999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27030.799999999999</v>
      </c>
      <c r="N400" s="20"/>
      <c r="O400" s="19"/>
    </row>
    <row r="401" spans="1:15" s="16" customFormat="1" x14ac:dyDescent="0.25">
      <c r="A401" s="16" t="s">
        <v>51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11526</v>
      </c>
      <c r="E401" s="16" t="s">
        <v>11527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11528</v>
      </c>
      <c r="E402" s="16" t="s">
        <v>11529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11530</v>
      </c>
      <c r="E403" s="16" t="s">
        <v>11531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11532</v>
      </c>
      <c r="E404" s="16" t="s">
        <v>11533</v>
      </c>
      <c r="F404" s="18">
        <v>1966726.94</v>
      </c>
      <c r="G404" s="18">
        <v>152300</v>
      </c>
      <c r="H404" s="18">
        <v>38377.58</v>
      </c>
      <c r="I404" s="18">
        <v>0</v>
      </c>
      <c r="J404" s="18">
        <v>23320.44</v>
      </c>
      <c r="K404" s="18">
        <v>80</v>
      </c>
      <c r="L404" s="18">
        <v>2096.5700000000002</v>
      </c>
      <c r="M404" s="20">
        <v>2055312.3499999999</v>
      </c>
      <c r="N404" s="20"/>
      <c r="O404" s="19"/>
    </row>
    <row r="405" spans="1:15" s="16" customFormat="1" hidden="1" x14ac:dyDescent="0.25">
      <c r="A405" s="16" t="s">
        <v>51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11534</v>
      </c>
      <c r="E405" s="16" t="s">
        <v>11535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11536</v>
      </c>
      <c r="E406" s="16" t="s">
        <v>11537</v>
      </c>
      <c r="F406" s="18">
        <v>81252.649999999994</v>
      </c>
      <c r="G406" s="18">
        <v>245</v>
      </c>
      <c r="H406" s="18">
        <v>1679.9999999999998</v>
      </c>
      <c r="I406" s="18">
        <v>0</v>
      </c>
      <c r="J406" s="18">
        <v>419.62</v>
      </c>
      <c r="K406" s="18">
        <v>0</v>
      </c>
      <c r="L406" s="18">
        <v>35.129999999999995</v>
      </c>
      <c r="M406" s="20">
        <v>79362.899999999994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11538</v>
      </c>
      <c r="E407" s="16" t="s">
        <v>11539</v>
      </c>
      <c r="F407" s="18">
        <v>573256.18999999994</v>
      </c>
      <c r="G407" s="18">
        <v>4380</v>
      </c>
      <c r="H407" s="18">
        <v>2711.68</v>
      </c>
      <c r="I407" s="18">
        <v>0</v>
      </c>
      <c r="J407" s="18">
        <v>8737.4000000000015</v>
      </c>
      <c r="K407" s="18">
        <v>0</v>
      </c>
      <c r="L407" s="18">
        <v>269.95999999999998</v>
      </c>
      <c r="M407" s="20">
        <v>565917.15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11540</v>
      </c>
      <c r="E408" s="16" t="s">
        <v>11541</v>
      </c>
      <c r="F408" s="18">
        <v>16778519</v>
      </c>
      <c r="G408" s="18">
        <v>1663621.16</v>
      </c>
      <c r="H408" s="18">
        <v>198839.4</v>
      </c>
      <c r="I408" s="18">
        <v>0</v>
      </c>
      <c r="J408" s="18">
        <v>76052</v>
      </c>
      <c r="K408" s="18">
        <v>0</v>
      </c>
      <c r="L408" s="18">
        <v>2861.49</v>
      </c>
      <c r="M408" s="20">
        <v>18164387.27</v>
      </c>
      <c r="N408" s="20"/>
      <c r="O408" s="19"/>
    </row>
    <row r="409" spans="1:15" s="16" customFormat="1" hidden="1" x14ac:dyDescent="0.25">
      <c r="A409" s="16" t="s">
        <v>51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11542</v>
      </c>
      <c r="E409" s="16" t="s">
        <v>11543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11544</v>
      </c>
      <c r="E410" s="16" t="s">
        <v>11545</v>
      </c>
      <c r="F410" s="18">
        <v>2841072.85</v>
      </c>
      <c r="G410" s="18">
        <v>36339</v>
      </c>
      <c r="H410" s="18">
        <v>5258.88</v>
      </c>
      <c r="I410" s="18">
        <v>0</v>
      </c>
      <c r="J410" s="18">
        <v>57958.380000000005</v>
      </c>
      <c r="K410" s="18">
        <v>0</v>
      </c>
      <c r="L410" s="18">
        <v>962.67</v>
      </c>
      <c r="M410" s="20">
        <v>2813231.92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11546</v>
      </c>
      <c r="E411" s="16" t="s">
        <v>11547</v>
      </c>
      <c r="F411" s="18">
        <v>8677553.9499999993</v>
      </c>
      <c r="G411" s="18">
        <v>16044</v>
      </c>
      <c r="H411" s="18">
        <v>195830.34</v>
      </c>
      <c r="I411" s="18">
        <v>0</v>
      </c>
      <c r="J411" s="18">
        <v>109046.43000000001</v>
      </c>
      <c r="K411" s="18">
        <v>0</v>
      </c>
      <c r="L411" s="18">
        <v>15420.960000000001</v>
      </c>
      <c r="M411" s="20">
        <v>8373300.2200000007</v>
      </c>
      <c r="N411" s="20"/>
      <c r="O411" s="19"/>
    </row>
    <row r="412" spans="1:15" s="16" customFormat="1" x14ac:dyDescent="0.25">
      <c r="A412" s="16" t="s">
        <v>51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11548</v>
      </c>
      <c r="E412" s="16" t="s">
        <v>11549</v>
      </c>
      <c r="F412" s="18">
        <v>7184248.9900000002</v>
      </c>
      <c r="G412" s="18">
        <v>44593.18</v>
      </c>
      <c r="H412" s="18">
        <v>123094.56999999999</v>
      </c>
      <c r="I412" s="18">
        <v>0</v>
      </c>
      <c r="J412" s="18">
        <v>111821.77</v>
      </c>
      <c r="K412" s="18">
        <v>0</v>
      </c>
      <c r="L412" s="18">
        <v>2819.09</v>
      </c>
      <c r="M412" s="20">
        <v>6991106.7400000002</v>
      </c>
      <c r="N412" s="20"/>
      <c r="O412" s="19"/>
    </row>
    <row r="413" spans="1:15" s="16" customFormat="1" x14ac:dyDescent="0.25">
      <c r="A413" s="16" t="s">
        <v>51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11550</v>
      </c>
      <c r="E413" s="16" t="s">
        <v>11551</v>
      </c>
      <c r="F413" s="18">
        <v>294151.24</v>
      </c>
      <c r="G413" s="18">
        <v>60303.249999999993</v>
      </c>
      <c r="H413" s="18">
        <v>0</v>
      </c>
      <c r="I413" s="18">
        <v>0</v>
      </c>
      <c r="J413" s="18">
        <v>8005.76</v>
      </c>
      <c r="K413" s="18">
        <v>0</v>
      </c>
      <c r="L413" s="18">
        <v>183.27</v>
      </c>
      <c r="M413" s="20">
        <v>346265.46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11552</v>
      </c>
      <c r="E414" s="16" t="s">
        <v>11553</v>
      </c>
      <c r="F414" s="18">
        <v>5196576.71</v>
      </c>
      <c r="G414" s="18">
        <v>413855</v>
      </c>
      <c r="H414" s="18">
        <v>110906.53</v>
      </c>
      <c r="I414" s="18">
        <v>0</v>
      </c>
      <c r="J414" s="18">
        <v>54815.92</v>
      </c>
      <c r="K414" s="18">
        <v>0</v>
      </c>
      <c r="L414" s="18">
        <v>7286.78</v>
      </c>
      <c r="M414" s="20">
        <v>5437422.4799999995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11554</v>
      </c>
      <c r="E415" s="16" t="s">
        <v>11555</v>
      </c>
      <c r="F415" s="18">
        <v>5337229.7699999996</v>
      </c>
      <c r="G415" s="18">
        <v>450108.75000000006</v>
      </c>
      <c r="H415" s="18">
        <v>78132.81</v>
      </c>
      <c r="I415" s="18">
        <v>0</v>
      </c>
      <c r="J415" s="18">
        <v>74334.78</v>
      </c>
      <c r="K415" s="18">
        <v>0</v>
      </c>
      <c r="L415" s="18">
        <v>4475.1000000000004</v>
      </c>
      <c r="M415" s="20">
        <v>5630395.8300000001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11556</v>
      </c>
      <c r="E416" s="16" t="s">
        <v>11557</v>
      </c>
      <c r="F416" s="18">
        <v>373826.61</v>
      </c>
      <c r="G416" s="18">
        <v>26805</v>
      </c>
      <c r="H416" s="18">
        <v>685.31000000000006</v>
      </c>
      <c r="I416" s="18">
        <v>0</v>
      </c>
      <c r="J416" s="18">
        <v>22027.43</v>
      </c>
      <c r="K416" s="18">
        <v>0</v>
      </c>
      <c r="L416" s="18">
        <v>499.51</v>
      </c>
      <c r="M416" s="20">
        <v>377419.36</v>
      </c>
      <c r="N416" s="20"/>
      <c r="O416" s="19"/>
    </row>
    <row r="417" spans="1:15" s="16" customFormat="1" hidden="1" x14ac:dyDescent="0.25">
      <c r="A417" s="16" t="s">
        <v>51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11558</v>
      </c>
      <c r="E417" s="16" t="s">
        <v>11559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11560</v>
      </c>
      <c r="E418" s="16" t="s">
        <v>11561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11562</v>
      </c>
      <c r="E419" s="16" t="s">
        <v>11563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11564</v>
      </c>
      <c r="E420" s="16" t="s">
        <v>11565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11566</v>
      </c>
      <c r="E421" s="16" t="s">
        <v>11567</v>
      </c>
      <c r="F421" s="18">
        <v>9662286.5500000007</v>
      </c>
      <c r="G421" s="18">
        <v>16982936.119999997</v>
      </c>
      <c r="H421" s="18">
        <v>22325381.48</v>
      </c>
      <c r="I421" s="18">
        <v>47075027.910000004</v>
      </c>
      <c r="J421" s="18">
        <v>40118592.590000004</v>
      </c>
      <c r="K421" s="18">
        <v>0</v>
      </c>
      <c r="L421" s="18">
        <v>851204.33</v>
      </c>
      <c r="M421" s="20">
        <v>10425072.18</v>
      </c>
      <c r="N421" s="20"/>
      <c r="O421" s="19"/>
    </row>
    <row r="422" spans="1:15" s="16" customFormat="1" x14ac:dyDescent="0.25">
      <c r="A422" s="16" t="s">
        <v>51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11568</v>
      </c>
      <c r="E422" s="16" t="s">
        <v>11569</v>
      </c>
      <c r="F422" s="18">
        <v>1081141.8799999999</v>
      </c>
      <c r="G422" s="18">
        <v>64684.1</v>
      </c>
      <c r="H422" s="18">
        <v>43212.729999999996</v>
      </c>
      <c r="I422" s="18">
        <v>0</v>
      </c>
      <c r="J422" s="18">
        <v>15296.45</v>
      </c>
      <c r="K422" s="18">
        <v>0</v>
      </c>
      <c r="L422" s="18">
        <v>1998.2900000000002</v>
      </c>
      <c r="M422" s="20">
        <v>1085318.51</v>
      </c>
      <c r="N422" s="20"/>
      <c r="O422" s="19"/>
    </row>
    <row r="423" spans="1:15" s="16" customFormat="1" x14ac:dyDescent="0.25">
      <c r="A423" s="16" t="s">
        <v>51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11570</v>
      </c>
      <c r="E423" s="16" t="s">
        <v>11571</v>
      </c>
      <c r="F423" s="18">
        <v>83303.460000000006</v>
      </c>
      <c r="G423" s="18">
        <v>4566.29</v>
      </c>
      <c r="H423" s="18">
        <v>73.88</v>
      </c>
      <c r="I423" s="18">
        <v>0</v>
      </c>
      <c r="J423" s="18">
        <v>34.510000000000005</v>
      </c>
      <c r="K423" s="18">
        <v>265</v>
      </c>
      <c r="L423" s="18">
        <v>0</v>
      </c>
      <c r="M423" s="20">
        <v>88026.36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11572</v>
      </c>
      <c r="E424" s="16" t="s">
        <v>11573</v>
      </c>
      <c r="F424" s="18">
        <v>3218057.9999999995</v>
      </c>
      <c r="G424" s="18">
        <v>285680.60000000003</v>
      </c>
      <c r="H424" s="18">
        <v>210966.66</v>
      </c>
      <c r="I424" s="18">
        <v>0</v>
      </c>
      <c r="J424" s="18">
        <v>88498</v>
      </c>
      <c r="K424" s="18">
        <v>0</v>
      </c>
      <c r="L424" s="18">
        <v>7155.06</v>
      </c>
      <c r="M424" s="20">
        <v>3197118.88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11574</v>
      </c>
      <c r="E425" s="16" t="s">
        <v>11575</v>
      </c>
      <c r="F425" s="18">
        <v>375001.19</v>
      </c>
      <c r="G425" s="18">
        <v>4198.1899999999996</v>
      </c>
      <c r="H425" s="18">
        <v>29144.47</v>
      </c>
      <c r="I425" s="18">
        <v>0</v>
      </c>
      <c r="J425" s="18">
        <v>12886.18</v>
      </c>
      <c r="K425" s="18">
        <v>0</v>
      </c>
      <c r="L425" s="18">
        <v>5971.86</v>
      </c>
      <c r="M425" s="20">
        <v>331196.87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11576</v>
      </c>
      <c r="E426" s="16" t="s">
        <v>11577</v>
      </c>
      <c r="F426" s="18">
        <v>1520510.52</v>
      </c>
      <c r="G426" s="18">
        <v>1386187.8299999998</v>
      </c>
      <c r="H426" s="18">
        <v>1294347.24</v>
      </c>
      <c r="I426" s="18">
        <v>0</v>
      </c>
      <c r="J426" s="18">
        <v>59852.99</v>
      </c>
      <c r="K426" s="18">
        <v>0</v>
      </c>
      <c r="L426" s="18">
        <v>2037.15</v>
      </c>
      <c r="M426" s="20">
        <v>1550460.97</v>
      </c>
      <c r="N426" s="20"/>
      <c r="O426" s="19"/>
    </row>
    <row r="427" spans="1:15" s="16" customFormat="1" hidden="1" x14ac:dyDescent="0.25">
      <c r="A427" s="16" t="s">
        <v>51</v>
      </c>
      <c r="B427" s="16" t="str">
        <f t="shared" si="6"/>
        <v>hide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11578</v>
      </c>
      <c r="E427" s="16" t="s">
        <v>11579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11580</v>
      </c>
      <c r="E428" s="16" t="s">
        <v>11581</v>
      </c>
      <c r="F428" s="18">
        <v>3410482.07</v>
      </c>
      <c r="G428" s="18">
        <v>139166.08000000002</v>
      </c>
      <c r="H428" s="18">
        <v>81741.81</v>
      </c>
      <c r="I428" s="18">
        <v>0</v>
      </c>
      <c r="J428" s="18">
        <v>29257.57</v>
      </c>
      <c r="K428" s="18">
        <v>0</v>
      </c>
      <c r="L428" s="18">
        <v>8781.4699999999993</v>
      </c>
      <c r="M428" s="20">
        <v>3429867.3000000003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11582</v>
      </c>
      <c r="E429" s="16" t="s">
        <v>11583</v>
      </c>
      <c r="F429" s="18">
        <v>20021024.23</v>
      </c>
      <c r="G429" s="18">
        <v>2970420.15</v>
      </c>
      <c r="H429" s="18">
        <v>1288014.8799999999</v>
      </c>
      <c r="I429" s="18">
        <v>0</v>
      </c>
      <c r="J429" s="18">
        <v>396892.89</v>
      </c>
      <c r="K429" s="18">
        <v>6.1</v>
      </c>
      <c r="L429" s="18">
        <v>65544.88</v>
      </c>
      <c r="M429" s="20">
        <v>21240997.829999998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11584</v>
      </c>
      <c r="E430" s="16" t="s">
        <v>11585</v>
      </c>
      <c r="F430" s="18">
        <v>34385810.159999996</v>
      </c>
      <c r="G430" s="18">
        <v>1402472.77</v>
      </c>
      <c r="H430" s="18">
        <v>5246256.5</v>
      </c>
      <c r="I430" s="18">
        <v>0</v>
      </c>
      <c r="J430" s="18">
        <v>104829.48000000001</v>
      </c>
      <c r="K430" s="18">
        <v>0</v>
      </c>
      <c r="L430" s="18">
        <v>10744.22</v>
      </c>
      <c r="M430" s="20">
        <v>30426452.73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11586</v>
      </c>
      <c r="E431" s="16" t="s">
        <v>11587</v>
      </c>
      <c r="F431" s="18">
        <v>38260.36</v>
      </c>
      <c r="G431" s="18">
        <v>30000</v>
      </c>
      <c r="H431" s="18">
        <v>54001.25</v>
      </c>
      <c r="I431" s="18">
        <v>0</v>
      </c>
      <c r="J431" s="18">
        <v>11986.37</v>
      </c>
      <c r="K431" s="18">
        <v>0</v>
      </c>
      <c r="L431" s="18">
        <v>949.75000000000011</v>
      </c>
      <c r="M431" s="20">
        <v>1322.99</v>
      </c>
      <c r="N431" s="20"/>
      <c r="O431" s="19"/>
    </row>
    <row r="432" spans="1:15" s="16" customFormat="1" hidden="1" x14ac:dyDescent="0.25">
      <c r="A432" s="16" t="s">
        <v>51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11588</v>
      </c>
      <c r="E432" s="16" t="s">
        <v>11589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11590</v>
      </c>
      <c r="E433" s="16" t="s">
        <v>11591</v>
      </c>
      <c r="F433" s="18">
        <v>74975.39</v>
      </c>
      <c r="G433" s="18">
        <v>29589.91</v>
      </c>
      <c r="H433" s="18">
        <v>1807.8300000000002</v>
      </c>
      <c r="I433" s="18">
        <v>0</v>
      </c>
      <c r="J433" s="18">
        <v>982.71</v>
      </c>
      <c r="K433" s="18">
        <v>0</v>
      </c>
      <c r="L433" s="18">
        <v>12.83</v>
      </c>
      <c r="M433" s="20">
        <v>101761.93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11592</v>
      </c>
      <c r="E434" s="16" t="s">
        <v>11593</v>
      </c>
      <c r="F434" s="18">
        <v>4237012.62</v>
      </c>
      <c r="G434" s="18">
        <v>1886.44</v>
      </c>
      <c r="H434" s="18">
        <v>5434763.2700000005</v>
      </c>
      <c r="I434" s="18">
        <v>5000000</v>
      </c>
      <c r="J434" s="18">
        <v>353787.95999999996</v>
      </c>
      <c r="K434" s="18">
        <v>0</v>
      </c>
      <c r="L434" s="18">
        <v>22156.46</v>
      </c>
      <c r="M434" s="20">
        <v>3428191.37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11594</v>
      </c>
      <c r="E435" s="16" t="s">
        <v>11595</v>
      </c>
      <c r="F435" s="18">
        <v>1527234.71</v>
      </c>
      <c r="G435" s="18">
        <v>407990.48</v>
      </c>
      <c r="H435" s="18">
        <v>7606.7199999999993</v>
      </c>
      <c r="I435" s="18">
        <v>0</v>
      </c>
      <c r="J435" s="18">
        <v>0</v>
      </c>
      <c r="K435" s="18">
        <v>0</v>
      </c>
      <c r="L435" s="18">
        <v>0</v>
      </c>
      <c r="M435" s="20">
        <v>1927618.47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11596</v>
      </c>
      <c r="E436" s="16" t="s">
        <v>11597</v>
      </c>
      <c r="F436" s="18">
        <v>756372.8</v>
      </c>
      <c r="G436" s="18">
        <v>499.99999999999994</v>
      </c>
      <c r="H436" s="18">
        <v>57087.229999999996</v>
      </c>
      <c r="I436" s="18">
        <v>0</v>
      </c>
      <c r="J436" s="18">
        <v>2321.4</v>
      </c>
      <c r="K436" s="18">
        <v>0</v>
      </c>
      <c r="L436" s="18">
        <v>3464.5600000000004</v>
      </c>
      <c r="M436" s="20">
        <v>693999.61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11598</v>
      </c>
      <c r="E437" s="16" t="s">
        <v>11599</v>
      </c>
      <c r="F437" s="18">
        <v>534467.70000000007</v>
      </c>
      <c r="G437" s="18">
        <v>170715</v>
      </c>
      <c r="H437" s="18">
        <v>22128.83</v>
      </c>
      <c r="I437" s="18">
        <v>0</v>
      </c>
      <c r="J437" s="18">
        <v>22061.83</v>
      </c>
      <c r="K437" s="18">
        <v>0</v>
      </c>
      <c r="L437" s="18">
        <v>1968.48</v>
      </c>
      <c r="M437" s="20">
        <v>659023.56000000006</v>
      </c>
      <c r="N437" s="20"/>
      <c r="O437" s="19"/>
    </row>
    <row r="438" spans="1:15" s="16" customFormat="1" hidden="1" x14ac:dyDescent="0.25">
      <c r="A438" s="16" t="s">
        <v>51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11600</v>
      </c>
      <c r="E438" s="16" t="s">
        <v>11601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11602</v>
      </c>
      <c r="E439" s="16" t="s">
        <v>11603</v>
      </c>
      <c r="F439" s="18">
        <v>1924202.86</v>
      </c>
      <c r="G439" s="18">
        <v>285464.11</v>
      </c>
      <c r="H439" s="18">
        <v>157355.26999999999</v>
      </c>
      <c r="I439" s="18">
        <v>0</v>
      </c>
      <c r="J439" s="18">
        <v>84099.38</v>
      </c>
      <c r="K439" s="18">
        <v>0</v>
      </c>
      <c r="L439" s="18">
        <v>9675.1500000000015</v>
      </c>
      <c r="M439" s="20">
        <v>1958537.1700000002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11604</v>
      </c>
      <c r="E440" s="16" t="s">
        <v>11605</v>
      </c>
      <c r="F440" s="18">
        <v>12597.810000000001</v>
      </c>
      <c r="G440" s="18">
        <v>6380476.8199999994</v>
      </c>
      <c r="H440" s="18">
        <v>6121192.5599999996</v>
      </c>
      <c r="I440" s="18">
        <v>0</v>
      </c>
      <c r="J440" s="18">
        <v>20486.45</v>
      </c>
      <c r="K440" s="18">
        <v>0</v>
      </c>
      <c r="L440" s="18">
        <v>228686.24000000002</v>
      </c>
      <c r="M440" s="20">
        <v>22709.38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11606</v>
      </c>
      <c r="E441" s="16" t="s">
        <v>11607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11608</v>
      </c>
      <c r="E442" s="16" t="s">
        <v>11609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11610</v>
      </c>
      <c r="E443" s="16" t="s">
        <v>11611</v>
      </c>
      <c r="F443" s="18">
        <v>1224340.6199999999</v>
      </c>
      <c r="G443" s="18">
        <v>0</v>
      </c>
      <c r="H443" s="18">
        <v>34243.08</v>
      </c>
      <c r="I443" s="18">
        <v>0</v>
      </c>
      <c r="J443" s="18">
        <v>17064.41</v>
      </c>
      <c r="K443" s="18">
        <v>0</v>
      </c>
      <c r="L443" s="18">
        <v>99.960000000000008</v>
      </c>
      <c r="M443" s="20">
        <v>1172933.17</v>
      </c>
      <c r="N443" s="20"/>
      <c r="O443" s="19"/>
    </row>
    <row r="444" spans="1:15" s="16" customFormat="1" x14ac:dyDescent="0.25">
      <c r="A444" s="16" t="s">
        <v>51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11612</v>
      </c>
      <c r="E444" s="16" t="s">
        <v>11613</v>
      </c>
      <c r="F444" s="18">
        <v>20751628.220000003</v>
      </c>
      <c r="G444" s="18">
        <v>476819.24</v>
      </c>
      <c r="H444" s="18">
        <v>40701.18</v>
      </c>
      <c r="I444" s="18">
        <v>0</v>
      </c>
      <c r="J444" s="18">
        <v>30017.71</v>
      </c>
      <c r="K444" s="18">
        <v>0</v>
      </c>
      <c r="L444" s="18">
        <v>8978.35</v>
      </c>
      <c r="M444" s="20">
        <v>21148750.219999999</v>
      </c>
      <c r="N444" s="20"/>
      <c r="O444" s="19"/>
    </row>
    <row r="445" spans="1:15" s="16" customFormat="1" x14ac:dyDescent="0.25">
      <c r="A445" s="16" t="s">
        <v>51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11614</v>
      </c>
      <c r="E445" s="16" t="s">
        <v>11615</v>
      </c>
      <c r="F445" s="18">
        <v>1090575.48</v>
      </c>
      <c r="G445" s="18">
        <v>87710.65</v>
      </c>
      <c r="H445" s="18">
        <v>46360.46</v>
      </c>
      <c r="I445" s="18">
        <v>0</v>
      </c>
      <c r="J445" s="18">
        <v>24381.73</v>
      </c>
      <c r="K445" s="18">
        <v>0</v>
      </c>
      <c r="L445" s="18">
        <v>3885.1</v>
      </c>
      <c r="M445" s="20">
        <v>1103658.8400000001</v>
      </c>
      <c r="N445" s="20"/>
      <c r="O445" s="19"/>
    </row>
    <row r="446" spans="1:15" s="16" customFormat="1" hidden="1" x14ac:dyDescent="0.25">
      <c r="A446" s="16" t="s">
        <v>51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11616</v>
      </c>
      <c r="E446" s="16" t="s">
        <v>11617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11618</v>
      </c>
      <c r="E447" s="16" t="s">
        <v>11619</v>
      </c>
      <c r="F447" s="18">
        <v>915181.34000000008</v>
      </c>
      <c r="G447" s="18">
        <v>16507.350000000002</v>
      </c>
      <c r="H447" s="18">
        <v>17559.670000000002</v>
      </c>
      <c r="I447" s="18">
        <v>9506.14</v>
      </c>
      <c r="J447" s="18">
        <v>6637.52</v>
      </c>
      <c r="K447" s="18">
        <v>0</v>
      </c>
      <c r="L447" s="18">
        <v>0</v>
      </c>
      <c r="M447" s="20">
        <v>916997.64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11620</v>
      </c>
      <c r="E448" s="16" t="s">
        <v>11621</v>
      </c>
      <c r="F448" s="18">
        <v>6184055.75</v>
      </c>
      <c r="G448" s="18">
        <v>1105471.9099999999</v>
      </c>
      <c r="H448" s="18">
        <v>1975766.92</v>
      </c>
      <c r="I448" s="18">
        <v>0</v>
      </c>
      <c r="J448" s="18">
        <v>26986.52</v>
      </c>
      <c r="K448" s="18">
        <v>9231</v>
      </c>
      <c r="L448" s="18">
        <v>8938.43</v>
      </c>
      <c r="M448" s="20">
        <v>5287066.79</v>
      </c>
      <c r="N448" s="20"/>
      <c r="O448" s="19"/>
    </row>
    <row r="449" spans="1:15" s="16" customFormat="1" x14ac:dyDescent="0.25">
      <c r="A449" s="16" t="s">
        <v>51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11622</v>
      </c>
      <c r="E449" s="16" t="s">
        <v>11623</v>
      </c>
      <c r="F449" s="18">
        <v>587748.27999999991</v>
      </c>
      <c r="G449" s="18">
        <v>10425</v>
      </c>
      <c r="H449" s="18">
        <v>0</v>
      </c>
      <c r="I449" s="18">
        <v>0</v>
      </c>
      <c r="J449" s="18">
        <v>23918.35</v>
      </c>
      <c r="K449" s="18">
        <v>0</v>
      </c>
      <c r="L449" s="18">
        <v>0</v>
      </c>
      <c r="M449" s="20">
        <v>574254.92999999993</v>
      </c>
      <c r="N449" s="20"/>
      <c r="O449" s="19"/>
    </row>
    <row r="450" spans="1:15" s="16" customFormat="1" x14ac:dyDescent="0.25">
      <c r="A450" s="16" t="s">
        <v>51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11624</v>
      </c>
      <c r="E450" s="16" t="s">
        <v>11625</v>
      </c>
      <c r="F450" s="18">
        <v>31103846.830000002</v>
      </c>
      <c r="G450" s="18">
        <v>58904633.840000004</v>
      </c>
      <c r="H450" s="18">
        <v>16014387.930000002</v>
      </c>
      <c r="I450" s="18">
        <v>0</v>
      </c>
      <c r="J450" s="18">
        <v>46403074.619999997</v>
      </c>
      <c r="K450" s="18">
        <v>0</v>
      </c>
      <c r="L450" s="18">
        <v>0</v>
      </c>
      <c r="M450" s="20">
        <v>27591018.120000001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11626</v>
      </c>
      <c r="E451" s="16" t="s">
        <v>11627</v>
      </c>
      <c r="F451" s="18">
        <v>192949.21000000002</v>
      </c>
      <c r="G451" s="18">
        <v>6802</v>
      </c>
      <c r="H451" s="18">
        <v>27117.53</v>
      </c>
      <c r="I451" s="18">
        <v>0</v>
      </c>
      <c r="J451" s="18">
        <v>475.86</v>
      </c>
      <c r="K451" s="18">
        <v>17733.900000000001</v>
      </c>
      <c r="L451" s="18">
        <v>31.24</v>
      </c>
      <c r="M451" s="20">
        <v>189860.47999999998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11628</v>
      </c>
      <c r="E452" s="16" t="s">
        <v>11629</v>
      </c>
      <c r="F452" s="18">
        <v>5786006.3799999999</v>
      </c>
      <c r="G452" s="18">
        <v>1360063.08</v>
      </c>
      <c r="H452" s="18">
        <v>27761.83</v>
      </c>
      <c r="I452" s="18">
        <v>0</v>
      </c>
      <c r="J452" s="18">
        <v>753.42</v>
      </c>
      <c r="K452" s="18">
        <v>0</v>
      </c>
      <c r="L452" s="18">
        <v>443.3</v>
      </c>
      <c r="M452" s="20">
        <v>7117110.9100000001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11630</v>
      </c>
      <c r="E453" s="16" t="s">
        <v>11631</v>
      </c>
      <c r="F453" s="18">
        <v>10168603.629999999</v>
      </c>
      <c r="G453" s="18">
        <v>-405693.58</v>
      </c>
      <c r="H453" s="18">
        <v>238096.35</v>
      </c>
      <c r="I453" s="18">
        <v>0</v>
      </c>
      <c r="J453" s="18">
        <v>164192.78</v>
      </c>
      <c r="K453" s="18">
        <v>100.58999999999999</v>
      </c>
      <c r="L453" s="18">
        <v>7353.42</v>
      </c>
      <c r="M453" s="20">
        <v>9353368.0899999999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11632</v>
      </c>
      <c r="E454" s="16" t="s">
        <v>11633</v>
      </c>
      <c r="F454" s="18">
        <v>2010416.7000000002</v>
      </c>
      <c r="G454" s="18">
        <v>340560</v>
      </c>
      <c r="H454" s="18">
        <v>22387.18</v>
      </c>
      <c r="I454" s="18">
        <v>0</v>
      </c>
      <c r="J454" s="18">
        <v>15651.76</v>
      </c>
      <c r="K454" s="18">
        <v>0</v>
      </c>
      <c r="L454" s="18">
        <v>944.99</v>
      </c>
      <c r="M454" s="20">
        <v>2311992.77</v>
      </c>
      <c r="N454" s="20"/>
      <c r="O454" s="19"/>
    </row>
    <row r="455" spans="1:15" s="16" customFormat="1" x14ac:dyDescent="0.25">
      <c r="A455" s="16" t="s">
        <v>51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11634</v>
      </c>
      <c r="E455" s="16" t="s">
        <v>11635</v>
      </c>
      <c r="F455" s="18">
        <v>2843249.7</v>
      </c>
      <c r="G455" s="18">
        <v>19620</v>
      </c>
      <c r="H455" s="18">
        <v>28490.14</v>
      </c>
      <c r="I455" s="18">
        <v>0</v>
      </c>
      <c r="J455" s="18">
        <v>22683.37</v>
      </c>
      <c r="K455" s="18">
        <v>0</v>
      </c>
      <c r="L455" s="18">
        <v>1026.77</v>
      </c>
      <c r="M455" s="20">
        <v>2810669.42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11636</v>
      </c>
      <c r="E456" s="16" t="s">
        <v>11637</v>
      </c>
      <c r="F456" s="18">
        <v>6500546.6299999999</v>
      </c>
      <c r="G456" s="18">
        <v>861854.91</v>
      </c>
      <c r="H456" s="18">
        <v>198018.78999999998</v>
      </c>
      <c r="I456" s="18">
        <v>0</v>
      </c>
      <c r="J456" s="18">
        <v>142401.48000000001</v>
      </c>
      <c r="K456" s="18">
        <v>1216.75</v>
      </c>
      <c r="L456" s="18">
        <v>59031.539999999994</v>
      </c>
      <c r="M456" s="20">
        <v>6964166.4800000004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11638</v>
      </c>
      <c r="E457" s="16" t="s">
        <v>11639</v>
      </c>
      <c r="F457" s="18">
        <v>706495.79999999993</v>
      </c>
      <c r="G457" s="18">
        <v>49045.490000000005</v>
      </c>
      <c r="H457" s="18">
        <v>86937.44</v>
      </c>
      <c r="I457" s="18">
        <v>0</v>
      </c>
      <c r="J457" s="18">
        <v>9815.69</v>
      </c>
      <c r="K457" s="18">
        <v>0</v>
      </c>
      <c r="L457" s="18">
        <v>310.68</v>
      </c>
      <c r="M457" s="20">
        <v>658477.48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11640</v>
      </c>
      <c r="E458" s="16" t="s">
        <v>11641</v>
      </c>
      <c r="F458" s="18">
        <v>226245.86000000002</v>
      </c>
      <c r="G458" s="18">
        <v>251979.87</v>
      </c>
      <c r="H458" s="18">
        <v>397866.22000000003</v>
      </c>
      <c r="I458" s="18">
        <v>0</v>
      </c>
      <c r="J458" s="18">
        <v>28480.95</v>
      </c>
      <c r="K458" s="18">
        <v>0</v>
      </c>
      <c r="L458" s="18">
        <v>12445.6</v>
      </c>
      <c r="M458" s="20">
        <v>39432.959999999999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11642</v>
      </c>
      <c r="E459" s="16" t="s">
        <v>11643</v>
      </c>
      <c r="F459" s="18">
        <v>39120549.030000001</v>
      </c>
      <c r="G459" s="18">
        <v>56556514.18</v>
      </c>
      <c r="H459" s="18">
        <v>8657774.4699999988</v>
      </c>
      <c r="I459" s="18">
        <v>0</v>
      </c>
      <c r="J459" s="18">
        <v>34984607</v>
      </c>
      <c r="K459" s="18">
        <v>0</v>
      </c>
      <c r="L459" s="18">
        <v>0</v>
      </c>
      <c r="M459" s="20">
        <v>52034681.739999995</v>
      </c>
      <c r="N459" s="20"/>
      <c r="O459" s="19"/>
    </row>
    <row r="460" spans="1:15" s="16" customFormat="1" hidden="1" x14ac:dyDescent="0.25">
      <c r="A460" s="16" t="s">
        <v>51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11644</v>
      </c>
      <c r="E460" s="16" t="s">
        <v>11645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11646</v>
      </c>
      <c r="E461" s="16" t="s">
        <v>11647</v>
      </c>
      <c r="F461" s="18">
        <v>180665.52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180665.52</v>
      </c>
      <c r="N461" s="20"/>
      <c r="O461" s="19"/>
    </row>
    <row r="462" spans="1:15" s="16" customFormat="1" hidden="1" x14ac:dyDescent="0.25">
      <c r="A462" s="16" t="s">
        <v>51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11648</v>
      </c>
      <c r="E462" s="16" t="s">
        <v>11649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11650</v>
      </c>
      <c r="E463" s="16" t="s">
        <v>11651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11652</v>
      </c>
      <c r="E464" s="16" t="s">
        <v>11653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11654</v>
      </c>
      <c r="E465" s="16" t="s">
        <v>11655</v>
      </c>
      <c r="F465" s="18">
        <v>813644.78</v>
      </c>
      <c r="G465" s="18">
        <v>1604570.5599999998</v>
      </c>
      <c r="H465" s="18">
        <v>95.98</v>
      </c>
      <c r="I465" s="18">
        <v>0</v>
      </c>
      <c r="J465" s="18">
        <v>1521667.17</v>
      </c>
      <c r="K465" s="18">
        <v>0</v>
      </c>
      <c r="L465" s="18">
        <v>0</v>
      </c>
      <c r="M465" s="20">
        <v>896452.19000000006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11656</v>
      </c>
      <c r="E466" s="16" t="s">
        <v>11657</v>
      </c>
      <c r="F466" s="18">
        <v>69263697.010000005</v>
      </c>
      <c r="G466" s="18">
        <v>81406875.400000006</v>
      </c>
      <c r="H466" s="18">
        <v>79514578.019999996</v>
      </c>
      <c r="I466" s="18">
        <v>0</v>
      </c>
      <c r="J466" s="18">
        <v>625000</v>
      </c>
      <c r="K466" s="18">
        <v>0</v>
      </c>
      <c r="L466" s="18">
        <v>38543.130000000005</v>
      </c>
      <c r="M466" s="20">
        <v>70492451.260000005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11658</v>
      </c>
      <c r="E467" s="16" t="s">
        <v>11659</v>
      </c>
      <c r="F467" s="18">
        <v>737898.4</v>
      </c>
      <c r="G467" s="18">
        <v>503.74999999999994</v>
      </c>
      <c r="H467" s="18">
        <v>408311.79</v>
      </c>
      <c r="I467" s="18">
        <v>557029.61</v>
      </c>
      <c r="J467" s="18">
        <v>224041.28</v>
      </c>
      <c r="K467" s="18">
        <v>0</v>
      </c>
      <c r="L467" s="18">
        <v>63019.899999999994</v>
      </c>
      <c r="M467" s="20">
        <v>600058.78999999992</v>
      </c>
      <c r="N467" s="20"/>
      <c r="O467" s="19"/>
    </row>
    <row r="468" spans="1:15" s="16" customFormat="1" hidden="1" x14ac:dyDescent="0.25">
      <c r="A468" s="16" t="s">
        <v>51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11660</v>
      </c>
      <c r="E468" s="16" t="s">
        <v>11661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11662</v>
      </c>
      <c r="E469" s="16" t="s">
        <v>11663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11664</v>
      </c>
      <c r="E470" s="16" t="s">
        <v>11665</v>
      </c>
      <c r="F470" s="18">
        <v>127119.04000000001</v>
      </c>
      <c r="G470" s="18">
        <v>0</v>
      </c>
      <c r="H470" s="18">
        <v>286325.43</v>
      </c>
      <c r="I470" s="18">
        <v>209723.49</v>
      </c>
      <c r="J470" s="18">
        <v>0</v>
      </c>
      <c r="K470" s="18">
        <v>0</v>
      </c>
      <c r="L470" s="18">
        <v>0</v>
      </c>
      <c r="M470" s="20">
        <v>50517.1</v>
      </c>
      <c r="N470" s="20"/>
      <c r="O470" s="19"/>
    </row>
    <row r="471" spans="1:15" s="16" customFormat="1" x14ac:dyDescent="0.25">
      <c r="A471" s="16" t="s">
        <v>51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11666</v>
      </c>
      <c r="E471" s="16" t="s">
        <v>11667</v>
      </c>
      <c r="F471" s="18">
        <v>319683.86</v>
      </c>
      <c r="G471" s="18">
        <v>6581</v>
      </c>
      <c r="H471" s="18">
        <v>0</v>
      </c>
      <c r="I471" s="18">
        <v>0</v>
      </c>
      <c r="J471" s="18">
        <v>15649.89</v>
      </c>
      <c r="K471" s="18">
        <v>0</v>
      </c>
      <c r="L471" s="18">
        <v>0</v>
      </c>
      <c r="M471" s="20">
        <v>310614.97000000003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11668</v>
      </c>
      <c r="E472" s="16" t="s">
        <v>11669</v>
      </c>
      <c r="F472" s="18">
        <v>4107827.56</v>
      </c>
      <c r="G472" s="18">
        <v>175792.80000000002</v>
      </c>
      <c r="H472" s="18">
        <v>157983.78</v>
      </c>
      <c r="I472" s="18">
        <v>2837</v>
      </c>
      <c r="J472" s="18">
        <v>13456.910000000002</v>
      </c>
      <c r="K472" s="18">
        <v>780</v>
      </c>
      <c r="L472" s="18">
        <v>2582.7800000000002</v>
      </c>
      <c r="M472" s="20">
        <v>4113213.89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11670</v>
      </c>
      <c r="E473" s="16" t="s">
        <v>11671</v>
      </c>
      <c r="F473" s="18">
        <v>13584889.829999998</v>
      </c>
      <c r="G473" s="18">
        <v>439179.37</v>
      </c>
      <c r="H473" s="18">
        <v>62518.14</v>
      </c>
      <c r="I473" s="18">
        <v>0</v>
      </c>
      <c r="J473" s="18">
        <v>0</v>
      </c>
      <c r="K473" s="18">
        <v>10030</v>
      </c>
      <c r="L473" s="18">
        <v>0</v>
      </c>
      <c r="M473" s="20">
        <v>13971581.060000001</v>
      </c>
      <c r="N473" s="20"/>
      <c r="O473" s="19"/>
    </row>
    <row r="474" spans="1:15" s="16" customFormat="1" hidden="1" x14ac:dyDescent="0.25">
      <c r="A474" s="16" t="s">
        <v>51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11672</v>
      </c>
      <c r="E474" s="16" t="s">
        <v>11673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11674</v>
      </c>
      <c r="E475" s="16" t="s">
        <v>11675</v>
      </c>
      <c r="F475" s="18">
        <v>648556.56000000006</v>
      </c>
      <c r="G475" s="18">
        <v>281.93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648838.49</v>
      </c>
      <c r="N475" s="20"/>
      <c r="O475" s="19"/>
    </row>
    <row r="476" spans="1:15" s="16" customFormat="1" x14ac:dyDescent="0.25">
      <c r="A476" s="16" t="s">
        <v>51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11676</v>
      </c>
      <c r="E476" s="16" t="s">
        <v>11677</v>
      </c>
      <c r="F476" s="18">
        <v>997043.72</v>
      </c>
      <c r="G476" s="18">
        <v>469.46999999999997</v>
      </c>
      <c r="H476" s="18">
        <v>2525.77</v>
      </c>
      <c r="I476" s="18">
        <v>0</v>
      </c>
      <c r="J476" s="18">
        <v>0</v>
      </c>
      <c r="K476" s="18">
        <v>0</v>
      </c>
      <c r="L476" s="18">
        <v>0</v>
      </c>
      <c r="M476" s="20">
        <v>994987.42</v>
      </c>
      <c r="N476" s="20"/>
      <c r="O476" s="19"/>
    </row>
    <row r="477" spans="1:15" s="16" customFormat="1" x14ac:dyDescent="0.25">
      <c r="A477" s="16" t="s">
        <v>51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11678</v>
      </c>
      <c r="E477" s="16" t="s">
        <v>11679</v>
      </c>
      <c r="F477" s="18">
        <v>8791.73</v>
      </c>
      <c r="G477" s="18">
        <v>4.12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8795.85</v>
      </c>
      <c r="N477" s="20"/>
      <c r="O477" s="19"/>
    </row>
    <row r="478" spans="1:15" s="16" customFormat="1" x14ac:dyDescent="0.25">
      <c r="A478" s="16" t="s">
        <v>51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11680</v>
      </c>
      <c r="E478" s="16" t="s">
        <v>11681</v>
      </c>
      <c r="F478" s="18">
        <v>469.78000000000003</v>
      </c>
      <c r="G478" s="18">
        <v>0.79</v>
      </c>
      <c r="H478" s="18">
        <v>0</v>
      </c>
      <c r="I478" s="18">
        <v>181</v>
      </c>
      <c r="J478" s="18">
        <v>0</v>
      </c>
      <c r="K478" s="18">
        <v>0</v>
      </c>
      <c r="L478" s="18">
        <v>0</v>
      </c>
      <c r="M478" s="20">
        <v>651.57000000000005</v>
      </c>
      <c r="N478" s="20"/>
      <c r="O478" s="19"/>
    </row>
    <row r="479" spans="1:15" s="16" customFormat="1" x14ac:dyDescent="0.25">
      <c r="A479" s="16" t="s">
        <v>51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11682</v>
      </c>
      <c r="E479" s="16" t="s">
        <v>11683</v>
      </c>
      <c r="F479" s="18">
        <v>250911.94999999998</v>
      </c>
      <c r="G479" s="18">
        <v>0</v>
      </c>
      <c r="H479" s="18">
        <v>37336320.25</v>
      </c>
      <c r="I479" s="18">
        <v>37530259.829999998</v>
      </c>
      <c r="J479" s="18">
        <v>0</v>
      </c>
      <c r="K479" s="18">
        <v>0</v>
      </c>
      <c r="L479" s="18">
        <v>0</v>
      </c>
      <c r="M479" s="20">
        <v>444851.53</v>
      </c>
      <c r="N479" s="20"/>
      <c r="O479" s="19"/>
    </row>
    <row r="480" spans="1:15" s="16" customFormat="1" x14ac:dyDescent="0.25">
      <c r="A480" s="16" t="s">
        <v>51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11684</v>
      </c>
      <c r="E480" s="16" t="s">
        <v>11685</v>
      </c>
      <c r="F480" s="18">
        <v>116865.81000000001</v>
      </c>
      <c r="G480" s="18">
        <v>0</v>
      </c>
      <c r="H480" s="18">
        <v>13177273.959999999</v>
      </c>
      <c r="I480" s="18">
        <v>13175573.9</v>
      </c>
      <c r="J480" s="18">
        <v>0</v>
      </c>
      <c r="K480" s="18">
        <v>0</v>
      </c>
      <c r="L480" s="18">
        <v>0</v>
      </c>
      <c r="M480" s="20">
        <v>115165.75</v>
      </c>
      <c r="N480" s="20"/>
      <c r="O480" s="19"/>
    </row>
    <row r="481" spans="1:15" s="16" customFormat="1" x14ac:dyDescent="0.25">
      <c r="A481" s="16" t="s">
        <v>51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11686</v>
      </c>
      <c r="E481" s="16" t="s">
        <v>11687</v>
      </c>
      <c r="F481" s="18">
        <v>54.16</v>
      </c>
      <c r="G481" s="18">
        <v>0.27</v>
      </c>
      <c r="H481" s="18">
        <v>0</v>
      </c>
      <c r="I481" s="18">
        <v>136</v>
      </c>
      <c r="J481" s="18">
        <v>0</v>
      </c>
      <c r="K481" s="18">
        <v>0</v>
      </c>
      <c r="L481" s="18">
        <v>0</v>
      </c>
      <c r="M481" s="20">
        <v>190.43</v>
      </c>
      <c r="N481" s="20"/>
      <c r="O481" s="19"/>
    </row>
    <row r="482" spans="1:15" s="16" customFormat="1" x14ac:dyDescent="0.25">
      <c r="A482" s="16" t="s">
        <v>51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11688</v>
      </c>
      <c r="E482" s="16" t="s">
        <v>11689</v>
      </c>
      <c r="F482" s="18">
        <v>77.14</v>
      </c>
      <c r="G482" s="18">
        <v>0.01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77.150000000000006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11690</v>
      </c>
      <c r="E483" s="16" t="s">
        <v>11691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11692</v>
      </c>
      <c r="E484" s="16" t="s">
        <v>11693</v>
      </c>
      <c r="F484" s="18">
        <v>72.959999999999994</v>
      </c>
      <c r="G484" s="18">
        <v>0.11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73.070000000000007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11694</v>
      </c>
      <c r="E485" s="16" t="s">
        <v>11695</v>
      </c>
      <c r="F485" s="18">
        <v>78.16</v>
      </c>
      <c r="G485" s="18">
        <v>0.11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78.27</v>
      </c>
      <c r="N485" s="20"/>
      <c r="O485" s="19"/>
    </row>
    <row r="486" spans="1:15" s="16" customFormat="1" x14ac:dyDescent="0.25">
      <c r="A486" s="16" t="s">
        <v>51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11696</v>
      </c>
      <c r="E486" s="16" t="s">
        <v>11697</v>
      </c>
      <c r="F486" s="18">
        <v>219.60999999999999</v>
      </c>
      <c r="G486" s="18">
        <v>0.14000000000000001</v>
      </c>
      <c r="H486" s="18">
        <v>0</v>
      </c>
      <c r="I486" s="18">
        <v>35</v>
      </c>
      <c r="J486" s="18">
        <v>0</v>
      </c>
      <c r="K486" s="18">
        <v>0</v>
      </c>
      <c r="L486" s="18">
        <v>0</v>
      </c>
      <c r="M486" s="20">
        <v>254.75</v>
      </c>
      <c r="N486" s="20"/>
      <c r="O486" s="19"/>
    </row>
    <row r="487" spans="1:15" s="16" customFormat="1" x14ac:dyDescent="0.25">
      <c r="A487" s="16" t="s">
        <v>51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11698</v>
      </c>
      <c r="E487" s="16" t="s">
        <v>11699</v>
      </c>
      <c r="F487" s="18">
        <v>172547.86</v>
      </c>
      <c r="G487" s="18">
        <v>122406.96</v>
      </c>
      <c r="H487" s="18">
        <v>2802.94</v>
      </c>
      <c r="I487" s="18">
        <v>0</v>
      </c>
      <c r="J487" s="18">
        <v>105456.6</v>
      </c>
      <c r="K487" s="18">
        <v>0</v>
      </c>
      <c r="L487" s="18">
        <v>54.76</v>
      </c>
      <c r="M487" s="20">
        <v>186640.52000000002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11700</v>
      </c>
      <c r="E488" s="16" t="s">
        <v>11701</v>
      </c>
      <c r="F488" s="18">
        <v>512.49</v>
      </c>
      <c r="G488" s="18">
        <v>0.3</v>
      </c>
      <c r="H488" s="18">
        <v>0</v>
      </c>
      <c r="I488" s="18">
        <v>74</v>
      </c>
      <c r="J488" s="18">
        <v>0</v>
      </c>
      <c r="K488" s="18">
        <v>0</v>
      </c>
      <c r="L488" s="18">
        <v>0</v>
      </c>
      <c r="M488" s="20">
        <v>586.79</v>
      </c>
      <c r="N488" s="20"/>
      <c r="O488" s="19"/>
    </row>
    <row r="489" spans="1:15" s="16" customFormat="1" x14ac:dyDescent="0.25">
      <c r="A489" s="16" t="s">
        <v>51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11702</v>
      </c>
      <c r="E489" s="16" t="s">
        <v>11703</v>
      </c>
      <c r="F489" s="18">
        <v>629.66</v>
      </c>
      <c r="G489" s="18">
        <v>0.56000000000000005</v>
      </c>
      <c r="H489" s="18">
        <v>0</v>
      </c>
      <c r="I489" s="18">
        <v>426</v>
      </c>
      <c r="J489" s="18">
        <v>0</v>
      </c>
      <c r="K489" s="18">
        <v>0</v>
      </c>
      <c r="L489" s="18">
        <v>0</v>
      </c>
      <c r="M489" s="20">
        <v>1056.22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11704</v>
      </c>
      <c r="E490" s="16" t="s">
        <v>11705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11706</v>
      </c>
      <c r="E491" s="16" t="s">
        <v>11707</v>
      </c>
      <c r="F491" s="18">
        <v>113.44</v>
      </c>
      <c r="G491" s="18">
        <v>0.33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113.77</v>
      </c>
      <c r="N491" s="20"/>
      <c r="O491" s="19"/>
    </row>
    <row r="492" spans="1:15" s="16" customFormat="1" hidden="1" x14ac:dyDescent="0.25">
      <c r="A492" s="16" t="s">
        <v>51</v>
      </c>
      <c r="B492" s="16" t="str">
        <f t="shared" si="7"/>
        <v>hide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11708</v>
      </c>
      <c r="E492" s="16" t="s">
        <v>11709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11710</v>
      </c>
      <c r="E493" s="16" t="s">
        <v>11711</v>
      </c>
      <c r="F493" s="18">
        <v>27394.300000000003</v>
      </c>
      <c r="G493" s="18">
        <v>1846.42</v>
      </c>
      <c r="H493" s="18">
        <v>6508.79</v>
      </c>
      <c r="I493" s="18">
        <v>0</v>
      </c>
      <c r="J493" s="18">
        <v>0</v>
      </c>
      <c r="K493" s="18">
        <v>0</v>
      </c>
      <c r="L493" s="18">
        <v>0.49</v>
      </c>
      <c r="M493" s="20">
        <v>22731.439999999999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11712</v>
      </c>
      <c r="E494" s="16" t="s">
        <v>11713</v>
      </c>
      <c r="F494" s="18">
        <v>128062.31999999999</v>
      </c>
      <c r="G494" s="18">
        <v>73.75</v>
      </c>
      <c r="H494" s="18">
        <v>11509.46</v>
      </c>
      <c r="I494" s="18">
        <v>885</v>
      </c>
      <c r="J494" s="18">
        <v>0</v>
      </c>
      <c r="K494" s="18">
        <v>0</v>
      </c>
      <c r="L494" s="18">
        <v>0</v>
      </c>
      <c r="M494" s="20">
        <v>117511.61000000002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11714</v>
      </c>
      <c r="E495" s="16" t="s">
        <v>11715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11716</v>
      </c>
      <c r="E496" s="16" t="s">
        <v>11717</v>
      </c>
      <c r="F496" s="18">
        <v>147364.35</v>
      </c>
      <c r="G496" s="18">
        <v>14095.61</v>
      </c>
      <c r="H496" s="18">
        <v>0</v>
      </c>
      <c r="I496" s="18">
        <v>0</v>
      </c>
      <c r="J496" s="18">
        <v>2117.81</v>
      </c>
      <c r="K496" s="18">
        <v>0</v>
      </c>
      <c r="L496" s="18">
        <v>0</v>
      </c>
      <c r="M496" s="20">
        <v>159342.15</v>
      </c>
      <c r="N496" s="20"/>
      <c r="O496" s="19"/>
    </row>
    <row r="497" spans="1:15" s="16" customFormat="1" hidden="1" x14ac:dyDescent="0.25">
      <c r="A497" s="16" t="s">
        <v>51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11718</v>
      </c>
      <c r="E497" s="16" t="s">
        <v>11719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11720</v>
      </c>
      <c r="E498" s="16" t="s">
        <v>11721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x14ac:dyDescent="0.25">
      <c r="A499" s="16" t="s">
        <v>51</v>
      </c>
      <c r="B499" s="16" t="str">
        <f t="shared" si="7"/>
        <v>show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11722</v>
      </c>
      <c r="E499" s="16" t="s">
        <v>11723</v>
      </c>
      <c r="F499" s="18">
        <v>225406</v>
      </c>
      <c r="G499" s="18">
        <v>2907156</v>
      </c>
      <c r="H499" s="18">
        <v>3132562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11724</v>
      </c>
      <c r="E500" s="16" t="s">
        <v>11725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11726</v>
      </c>
      <c r="E501" s="16" t="s">
        <v>11727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11728</v>
      </c>
      <c r="E502" s="16" t="s">
        <v>11729</v>
      </c>
      <c r="F502" s="18">
        <v>75.92</v>
      </c>
      <c r="G502" s="18">
        <v>0.01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75.929999999999993</v>
      </c>
      <c r="N502" s="20"/>
      <c r="O502" s="19"/>
    </row>
    <row r="503" spans="1:15" s="16" customFormat="1" x14ac:dyDescent="0.25">
      <c r="A503" s="16" t="s">
        <v>51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11730</v>
      </c>
      <c r="E503" s="16" t="s">
        <v>11731</v>
      </c>
      <c r="F503" s="18">
        <v>208229.47000000003</v>
      </c>
      <c r="G503" s="18">
        <v>6368</v>
      </c>
      <c r="H503" s="18">
        <v>11145.56</v>
      </c>
      <c r="I503" s="18">
        <v>0</v>
      </c>
      <c r="J503" s="18">
        <v>6938.0400000000009</v>
      </c>
      <c r="K503" s="18">
        <v>0</v>
      </c>
      <c r="L503" s="18">
        <v>155.38999999999999</v>
      </c>
      <c r="M503" s="20">
        <v>196358.48</v>
      </c>
      <c r="N503" s="20"/>
      <c r="O503" s="19"/>
    </row>
    <row r="504" spans="1:15" s="16" customFormat="1" hidden="1" x14ac:dyDescent="0.25">
      <c r="A504" s="16" t="s">
        <v>51</v>
      </c>
      <c r="B504" s="16" t="str">
        <f t="shared" si="7"/>
        <v>hide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11732</v>
      </c>
      <c r="E504" s="16" t="s">
        <v>11733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11734</v>
      </c>
      <c r="E505" s="16" t="s">
        <v>11735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11736</v>
      </c>
      <c r="E506" s="16" t="s">
        <v>11737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11738</v>
      </c>
      <c r="E507" s="16" t="s">
        <v>11739</v>
      </c>
      <c r="F507" s="18">
        <v>4443438.88</v>
      </c>
      <c r="G507" s="18">
        <v>0</v>
      </c>
      <c r="H507" s="18">
        <v>398394.57</v>
      </c>
      <c r="I507" s="18">
        <v>0</v>
      </c>
      <c r="J507" s="18">
        <v>10854.460000000001</v>
      </c>
      <c r="K507" s="18">
        <v>0</v>
      </c>
      <c r="L507" s="18">
        <v>0</v>
      </c>
      <c r="M507" s="20">
        <v>4034189.85</v>
      </c>
      <c r="N507" s="20"/>
      <c r="O507" s="19"/>
    </row>
    <row r="508" spans="1:15" s="16" customFormat="1" hidden="1" x14ac:dyDescent="0.25">
      <c r="A508" s="16" t="s">
        <v>51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11740</v>
      </c>
      <c r="E508" s="16" t="s">
        <v>11741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11742</v>
      </c>
      <c r="E509" s="16" t="s">
        <v>11743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11744</v>
      </c>
      <c r="E510" s="16" t="s">
        <v>11745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11746</v>
      </c>
      <c r="E511" s="16" t="s">
        <v>11747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11748</v>
      </c>
      <c r="E512" s="16" t="s">
        <v>11749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11750</v>
      </c>
      <c r="E513" s="16" t="s">
        <v>11751</v>
      </c>
      <c r="F513" s="18">
        <v>2356866.64</v>
      </c>
      <c r="G513" s="18">
        <v>79211.37000000001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2436078.0099999998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11752</v>
      </c>
      <c r="E514" s="16" t="s">
        <v>11753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11754</v>
      </c>
      <c r="E515" s="16" t="s">
        <v>11755</v>
      </c>
      <c r="F515" s="18">
        <v>15794.74</v>
      </c>
      <c r="G515" s="18">
        <v>2826.66</v>
      </c>
      <c r="H515" s="18">
        <v>2628.52</v>
      </c>
      <c r="I515" s="18">
        <v>0</v>
      </c>
      <c r="J515" s="18">
        <v>0</v>
      </c>
      <c r="K515" s="18">
        <v>0</v>
      </c>
      <c r="L515" s="18">
        <v>0</v>
      </c>
      <c r="M515" s="20">
        <v>15992.880000000001</v>
      </c>
      <c r="N515" s="20"/>
      <c r="O515" s="19"/>
    </row>
    <row r="516" spans="1:15" s="16" customFormat="1" x14ac:dyDescent="0.25">
      <c r="A516" s="16" t="s">
        <v>51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11756</v>
      </c>
      <c r="E516" s="16" t="s">
        <v>11757</v>
      </c>
      <c r="F516" s="18">
        <v>844264.67</v>
      </c>
      <c r="G516" s="18">
        <v>28127.71</v>
      </c>
      <c r="H516" s="18">
        <v>20628.66</v>
      </c>
      <c r="I516" s="18">
        <v>0</v>
      </c>
      <c r="J516" s="18">
        <v>0</v>
      </c>
      <c r="K516" s="18">
        <v>0</v>
      </c>
      <c r="L516" s="18">
        <v>0</v>
      </c>
      <c r="M516" s="20">
        <v>851763.72000000009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11758</v>
      </c>
      <c r="E517" s="16" t="s">
        <v>11759</v>
      </c>
      <c r="F517" s="18">
        <v>4256.7700000000004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4256.7700000000004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11760</v>
      </c>
      <c r="E518" s="16" t="s">
        <v>11761</v>
      </c>
      <c r="F518" s="18">
        <v>490749.32</v>
      </c>
      <c r="G518" s="18">
        <v>60703</v>
      </c>
      <c r="H518" s="18">
        <v>38884.519999999997</v>
      </c>
      <c r="I518" s="18">
        <v>0</v>
      </c>
      <c r="J518" s="18">
        <v>22600.62</v>
      </c>
      <c r="K518" s="18">
        <v>1660</v>
      </c>
      <c r="L518" s="18">
        <v>2548.0699999999997</v>
      </c>
      <c r="M518" s="20">
        <v>489079.11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11762</v>
      </c>
      <c r="E519" s="16" t="s">
        <v>11763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11764</v>
      </c>
      <c r="E520" s="16" t="s">
        <v>11765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11766</v>
      </c>
      <c r="E521" s="16" t="s">
        <v>11767</v>
      </c>
      <c r="F521" s="18">
        <v>4012.86</v>
      </c>
      <c r="G521" s="18">
        <v>17000</v>
      </c>
      <c r="H521" s="18">
        <v>881</v>
      </c>
      <c r="I521" s="18">
        <v>0</v>
      </c>
      <c r="J521" s="18">
        <v>0</v>
      </c>
      <c r="K521" s="18">
        <v>0</v>
      </c>
      <c r="L521" s="18">
        <v>0</v>
      </c>
      <c r="M521" s="20">
        <v>20131.86</v>
      </c>
      <c r="N521" s="20"/>
      <c r="O521" s="19"/>
    </row>
    <row r="522" spans="1:15" s="16" customFormat="1" hidden="1" x14ac:dyDescent="0.25">
      <c r="A522" s="16" t="s">
        <v>51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11768</v>
      </c>
      <c r="E522" s="16" t="s">
        <v>11769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11770</v>
      </c>
      <c r="E523" s="16" t="s">
        <v>11771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12281</v>
      </c>
      <c r="E524" s="16" t="s">
        <v>11772</v>
      </c>
      <c r="F524" s="18">
        <v>4639789.25</v>
      </c>
      <c r="G524" s="18">
        <v>2711.2200000000003</v>
      </c>
      <c r="H524" s="18">
        <v>505974.97000000003</v>
      </c>
      <c r="I524" s="18">
        <v>149109.62</v>
      </c>
      <c r="J524" s="18">
        <v>203070.36</v>
      </c>
      <c r="K524" s="18">
        <v>0</v>
      </c>
      <c r="L524" s="18">
        <v>0</v>
      </c>
      <c r="M524" s="20">
        <v>4082564.76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11773</v>
      </c>
      <c r="E525" s="16" t="s">
        <v>11774</v>
      </c>
      <c r="F525" s="18">
        <v>9825869.8800000008</v>
      </c>
      <c r="G525" s="18">
        <v>6905.4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9832775.2800000012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11775</v>
      </c>
      <c r="E526" s="16" t="s">
        <v>11776</v>
      </c>
      <c r="F526" s="18">
        <v>7638972.8899999997</v>
      </c>
      <c r="G526" s="18">
        <v>10668.75</v>
      </c>
      <c r="H526" s="18">
        <v>12559.18</v>
      </c>
      <c r="I526" s="18">
        <v>0</v>
      </c>
      <c r="J526" s="18">
        <v>0</v>
      </c>
      <c r="K526" s="18">
        <v>0</v>
      </c>
      <c r="L526" s="18">
        <v>0</v>
      </c>
      <c r="M526" s="20">
        <v>7637082.46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11777</v>
      </c>
      <c r="E527" s="16" t="s">
        <v>11778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11779</v>
      </c>
      <c r="E528" s="16" t="s">
        <v>11780</v>
      </c>
      <c r="F528" s="18">
        <v>2103721.4500000002</v>
      </c>
      <c r="G528" s="18">
        <v>204112.29</v>
      </c>
      <c r="H528" s="18">
        <v>436402.49</v>
      </c>
      <c r="I528" s="18">
        <v>0</v>
      </c>
      <c r="J528" s="18">
        <v>3692.9399999999996</v>
      </c>
      <c r="K528" s="18">
        <v>0</v>
      </c>
      <c r="L528" s="18">
        <v>0</v>
      </c>
      <c r="M528" s="20">
        <v>1867738.31</v>
      </c>
      <c r="N528" s="20"/>
      <c r="O528" s="19"/>
    </row>
    <row r="529" spans="1:15" s="16" customFormat="1" x14ac:dyDescent="0.25">
      <c r="A529" s="16" t="s">
        <v>51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11781</v>
      </c>
      <c r="E529" s="16" t="s">
        <v>11782</v>
      </c>
      <c r="F529" s="18">
        <v>236952.45</v>
      </c>
      <c r="G529" s="18">
        <v>18567.47</v>
      </c>
      <c r="H529" s="18">
        <v>5043.1899999999996</v>
      </c>
      <c r="I529" s="18">
        <v>0</v>
      </c>
      <c r="J529" s="18">
        <v>192.66</v>
      </c>
      <c r="K529" s="18">
        <v>0</v>
      </c>
      <c r="L529" s="18">
        <v>1064.4100000000001</v>
      </c>
      <c r="M529" s="20">
        <v>249219.66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11783</v>
      </c>
      <c r="E530" s="16" t="s">
        <v>11784</v>
      </c>
      <c r="F530" s="18">
        <v>21641.95</v>
      </c>
      <c r="G530" s="18">
        <v>1033.8800000000001</v>
      </c>
      <c r="H530" s="18">
        <v>12.49</v>
      </c>
      <c r="I530" s="18">
        <v>0</v>
      </c>
      <c r="J530" s="18">
        <v>0</v>
      </c>
      <c r="K530" s="18">
        <v>0</v>
      </c>
      <c r="L530" s="18">
        <v>0</v>
      </c>
      <c r="M530" s="20">
        <v>22663.34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11785</v>
      </c>
      <c r="E531" s="16" t="s">
        <v>11786</v>
      </c>
      <c r="F531" s="18">
        <v>152840.6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152840.6</v>
      </c>
      <c r="N531" s="20"/>
      <c r="O531" s="19"/>
    </row>
    <row r="532" spans="1:15" s="16" customFormat="1" hidden="1" x14ac:dyDescent="0.25">
      <c r="A532" s="16" t="s">
        <v>51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11787</v>
      </c>
      <c r="E532" s="16" t="s">
        <v>11788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11789</v>
      </c>
      <c r="E533" s="16" t="s">
        <v>11790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11791</v>
      </c>
      <c r="E534" s="16" t="s">
        <v>11792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11793</v>
      </c>
      <c r="E535" s="16" t="s">
        <v>11794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11795</v>
      </c>
      <c r="E536" s="16" t="s">
        <v>11796</v>
      </c>
      <c r="F536" s="18">
        <v>323566.70999999996</v>
      </c>
      <c r="G536" s="18">
        <v>0</v>
      </c>
      <c r="H536" s="18">
        <v>40334203.18</v>
      </c>
      <c r="I536" s="18">
        <v>40019161.619999997</v>
      </c>
      <c r="J536" s="18">
        <v>0</v>
      </c>
      <c r="K536" s="18">
        <v>0</v>
      </c>
      <c r="L536" s="18">
        <v>0</v>
      </c>
      <c r="M536" s="20">
        <v>8525.15</v>
      </c>
      <c r="N536" s="20"/>
      <c r="O536" s="19"/>
    </row>
    <row r="537" spans="1:15" s="16" customFormat="1" x14ac:dyDescent="0.25">
      <c r="A537" s="16" t="s">
        <v>51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11797</v>
      </c>
      <c r="E537" s="16" t="s">
        <v>11798</v>
      </c>
      <c r="F537" s="18">
        <v>35009.589999999997</v>
      </c>
      <c r="G537" s="18">
        <v>0</v>
      </c>
      <c r="H537" s="18">
        <v>3468.36</v>
      </c>
      <c r="I537" s="18">
        <v>0</v>
      </c>
      <c r="J537" s="18">
        <v>2218.8000000000002</v>
      </c>
      <c r="K537" s="18">
        <v>0</v>
      </c>
      <c r="L537" s="18">
        <v>12.11</v>
      </c>
      <c r="M537" s="20">
        <v>29310.319999999996</v>
      </c>
      <c r="N537" s="20"/>
      <c r="O537" s="19"/>
    </row>
    <row r="538" spans="1:15" s="16" customFormat="1" hidden="1" x14ac:dyDescent="0.25">
      <c r="A538" s="16" t="s">
        <v>51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11799</v>
      </c>
      <c r="E538" s="16" t="s">
        <v>11800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11801</v>
      </c>
      <c r="E539" s="16" t="s">
        <v>11802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11803</v>
      </c>
      <c r="E540" s="16" t="s">
        <v>11804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51</v>
      </c>
      <c r="B541" s="16" t="str">
        <f t="shared" si="8"/>
        <v>hide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11805</v>
      </c>
      <c r="E541" s="16" t="s">
        <v>11806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11807</v>
      </c>
      <c r="E542" s="16" t="s">
        <v>11808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11809</v>
      </c>
      <c r="E543" s="16" t="s">
        <v>11810</v>
      </c>
      <c r="F543" s="18">
        <v>1933447.55</v>
      </c>
      <c r="G543" s="18">
        <v>60609.65</v>
      </c>
      <c r="H543" s="18">
        <v>262916.58999999997</v>
      </c>
      <c r="I543" s="18">
        <v>0</v>
      </c>
      <c r="J543" s="18">
        <v>377.97</v>
      </c>
      <c r="K543" s="18">
        <v>0</v>
      </c>
      <c r="L543" s="18">
        <v>72.06</v>
      </c>
      <c r="M543" s="20">
        <v>1730690.58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11811</v>
      </c>
      <c r="E544" s="16" t="s">
        <v>11812</v>
      </c>
      <c r="F544" s="18">
        <v>104.93</v>
      </c>
      <c r="G544" s="18">
        <v>0.01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104.94000000000001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11813</v>
      </c>
      <c r="E545" s="16" t="s">
        <v>11814</v>
      </c>
      <c r="F545" s="18">
        <v>1688.9299999999998</v>
      </c>
      <c r="G545" s="18">
        <v>219.75</v>
      </c>
      <c r="H545" s="18">
        <v>0</v>
      </c>
      <c r="I545" s="18">
        <v>0</v>
      </c>
      <c r="J545" s="18">
        <v>2.2200000000000002</v>
      </c>
      <c r="K545" s="18">
        <v>0</v>
      </c>
      <c r="L545" s="18">
        <v>0</v>
      </c>
      <c r="M545" s="20">
        <v>1906.4600000000003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11815</v>
      </c>
      <c r="E546" s="16" t="s">
        <v>11816</v>
      </c>
      <c r="F546" s="18">
        <v>15279.220000000001</v>
      </c>
      <c r="G546" s="18">
        <v>0</v>
      </c>
      <c r="H546" s="18">
        <v>0</v>
      </c>
      <c r="I546" s="18">
        <v>0</v>
      </c>
      <c r="J546" s="18">
        <v>10152</v>
      </c>
      <c r="K546" s="18">
        <v>0</v>
      </c>
      <c r="L546" s="18">
        <v>0</v>
      </c>
      <c r="M546" s="20">
        <v>5127.22</v>
      </c>
      <c r="N546" s="20"/>
      <c r="O546" s="19"/>
    </row>
    <row r="547" spans="1:15" s="16" customFormat="1" hidden="1" x14ac:dyDescent="0.25">
      <c r="A547" s="16" t="s">
        <v>51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11817</v>
      </c>
      <c r="E547" s="16" t="s">
        <v>11818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11819</v>
      </c>
      <c r="E548" s="16" t="s">
        <v>11820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11821</v>
      </c>
      <c r="E549" s="16" t="s">
        <v>11822</v>
      </c>
      <c r="F549" s="18">
        <v>269638.37</v>
      </c>
      <c r="G549" s="18">
        <v>35569.229999999996</v>
      </c>
      <c r="H549" s="18">
        <v>-27735.360000000001</v>
      </c>
      <c r="I549" s="18">
        <v>0</v>
      </c>
      <c r="J549" s="18">
        <v>-15924.419999999998</v>
      </c>
      <c r="K549" s="18">
        <v>0</v>
      </c>
      <c r="L549" s="18">
        <v>0</v>
      </c>
      <c r="M549" s="20">
        <v>348867.38</v>
      </c>
      <c r="N549" s="20"/>
      <c r="O549" s="19"/>
    </row>
    <row r="550" spans="1:15" s="16" customFormat="1" x14ac:dyDescent="0.25">
      <c r="A550" s="16" t="s">
        <v>51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11823</v>
      </c>
      <c r="E550" s="16" t="s">
        <v>11824</v>
      </c>
      <c r="F550" s="18">
        <v>233058.8</v>
      </c>
      <c r="G550" s="18">
        <v>12594.5</v>
      </c>
      <c r="H550" s="18">
        <v>1730.76</v>
      </c>
      <c r="I550" s="18">
        <v>0</v>
      </c>
      <c r="J550" s="18">
        <v>1310.85</v>
      </c>
      <c r="K550" s="18">
        <v>0</v>
      </c>
      <c r="L550" s="18">
        <v>8.56</v>
      </c>
      <c r="M550" s="20">
        <v>242603.13</v>
      </c>
      <c r="N550" s="20"/>
      <c r="O550" s="19"/>
    </row>
    <row r="551" spans="1:15" s="16" customFormat="1" x14ac:dyDescent="0.25">
      <c r="A551" s="16" t="s">
        <v>51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11825</v>
      </c>
      <c r="E551" s="16" t="s">
        <v>11826</v>
      </c>
      <c r="F551" s="18">
        <v>616641.31000000006</v>
      </c>
      <c r="G551" s="18">
        <v>294.17</v>
      </c>
      <c r="H551" s="18">
        <v>95884.409999999989</v>
      </c>
      <c r="I551" s="18">
        <v>0</v>
      </c>
      <c r="J551" s="18">
        <v>0</v>
      </c>
      <c r="K551" s="18">
        <v>1785</v>
      </c>
      <c r="L551" s="18">
        <v>0</v>
      </c>
      <c r="M551" s="20">
        <v>522836.07</v>
      </c>
      <c r="N551" s="20"/>
      <c r="O551" s="19"/>
    </row>
    <row r="552" spans="1:15" s="16" customFormat="1" x14ac:dyDescent="0.25">
      <c r="A552" s="16" t="s">
        <v>51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11827</v>
      </c>
      <c r="E552" s="16" t="s">
        <v>11828</v>
      </c>
      <c r="F552" s="18">
        <v>4109205.3699999996</v>
      </c>
      <c r="G552" s="18">
        <v>2534.33</v>
      </c>
      <c r="H552" s="18">
        <v>25999.750000000004</v>
      </c>
      <c r="I552" s="18">
        <v>0</v>
      </c>
      <c r="J552" s="18">
        <v>9170.9000000000015</v>
      </c>
      <c r="K552" s="18">
        <v>0</v>
      </c>
      <c r="L552" s="18">
        <v>3312.59</v>
      </c>
      <c r="M552" s="20">
        <v>4073256.4599999995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11829</v>
      </c>
      <c r="E553" s="16" t="s">
        <v>11830</v>
      </c>
      <c r="F553" s="18">
        <v>5738654.5499999998</v>
      </c>
      <c r="G553" s="18">
        <v>401963.67</v>
      </c>
      <c r="H553" s="18">
        <v>116711.1</v>
      </c>
      <c r="I553" s="18">
        <v>0</v>
      </c>
      <c r="J553" s="18">
        <v>3594.2000000000003</v>
      </c>
      <c r="K553" s="18">
        <v>0</v>
      </c>
      <c r="L553" s="18">
        <v>68.67</v>
      </c>
      <c r="M553" s="20">
        <v>6020244.25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11831</v>
      </c>
      <c r="E554" s="16" t="s">
        <v>11832</v>
      </c>
      <c r="F554" s="18">
        <v>8518325.3300000001</v>
      </c>
      <c r="G554" s="18">
        <v>0</v>
      </c>
      <c r="H554" s="18">
        <v>22335651.59</v>
      </c>
      <c r="I554" s="18">
        <v>42282088.939999998</v>
      </c>
      <c r="J554" s="18">
        <v>0</v>
      </c>
      <c r="K554" s="18">
        <v>0</v>
      </c>
      <c r="L554" s="18">
        <v>19563.559999999998</v>
      </c>
      <c r="M554" s="20">
        <v>28445199.119999997</v>
      </c>
      <c r="N554" s="20"/>
      <c r="O554" s="19"/>
    </row>
    <row r="555" spans="1:15" s="16" customFormat="1" x14ac:dyDescent="0.25">
      <c r="A555" s="16" t="s">
        <v>51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11833</v>
      </c>
      <c r="E555" s="16" t="s">
        <v>11834</v>
      </c>
      <c r="F555" s="18">
        <v>3736436.5700000003</v>
      </c>
      <c r="G555" s="18">
        <v>43782.5</v>
      </c>
      <c r="H555" s="18">
        <v>35148.5</v>
      </c>
      <c r="I555" s="18">
        <v>0</v>
      </c>
      <c r="J555" s="18">
        <v>143005.91</v>
      </c>
      <c r="K555" s="18">
        <v>0</v>
      </c>
      <c r="L555" s="18">
        <v>3552.43</v>
      </c>
      <c r="M555" s="20">
        <v>3598512.23</v>
      </c>
      <c r="N555" s="20"/>
      <c r="O555" s="19"/>
    </row>
    <row r="556" spans="1:15" s="16" customFormat="1" hidden="1" x14ac:dyDescent="0.25">
      <c r="A556" s="16" t="s">
        <v>51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11835</v>
      </c>
      <c r="E556" s="16" t="s">
        <v>11836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11837</v>
      </c>
      <c r="E557" s="16" t="s">
        <v>11838</v>
      </c>
      <c r="F557" s="18">
        <v>511235.95</v>
      </c>
      <c r="G557" s="18">
        <v>161462.84</v>
      </c>
      <c r="H557" s="18">
        <v>127092.3</v>
      </c>
      <c r="I557" s="18">
        <v>0</v>
      </c>
      <c r="J557" s="18">
        <v>14708.56</v>
      </c>
      <c r="K557" s="18">
        <v>0</v>
      </c>
      <c r="L557" s="18">
        <v>1386.49</v>
      </c>
      <c r="M557" s="20">
        <v>529511.43999999994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11839</v>
      </c>
      <c r="E558" s="16" t="s">
        <v>11840</v>
      </c>
      <c r="F558" s="18">
        <v>6126242.5</v>
      </c>
      <c r="G558" s="18">
        <v>75387.400000000009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6201629.9000000004</v>
      </c>
      <c r="N558" s="20"/>
      <c r="O558" s="19"/>
    </row>
    <row r="559" spans="1:15" s="16" customFormat="1" hidden="1" x14ac:dyDescent="0.25">
      <c r="A559" s="16" t="s">
        <v>51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11841</v>
      </c>
      <c r="E559" s="16" t="s">
        <v>11842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11843</v>
      </c>
      <c r="E560" s="16" t="s">
        <v>11844</v>
      </c>
      <c r="F560" s="18">
        <v>34821116.200000003</v>
      </c>
      <c r="G560" s="18">
        <v>49748.79</v>
      </c>
      <c r="H560" s="18">
        <v>19287267.5</v>
      </c>
      <c r="I560" s="18">
        <v>0</v>
      </c>
      <c r="J560" s="18">
        <v>0</v>
      </c>
      <c r="K560" s="18">
        <v>0</v>
      </c>
      <c r="L560" s="18">
        <v>0</v>
      </c>
      <c r="M560" s="20">
        <v>15583597.49</v>
      </c>
      <c r="N560" s="20"/>
      <c r="O560" s="19"/>
    </row>
    <row r="561" spans="1:15" s="16" customFormat="1" hidden="1" x14ac:dyDescent="0.25">
      <c r="A561" s="16" t="s">
        <v>51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11845</v>
      </c>
      <c r="E561" s="16" t="s">
        <v>11846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11847</v>
      </c>
      <c r="E562" s="16" t="s">
        <v>11848</v>
      </c>
      <c r="F562" s="18">
        <v>537.79</v>
      </c>
      <c r="G562" s="18">
        <v>32.769999999999996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570.55999999999995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11849</v>
      </c>
      <c r="E563" s="16" t="s">
        <v>11850</v>
      </c>
      <c r="F563" s="18">
        <v>933729.6399999999</v>
      </c>
      <c r="G563" s="18">
        <v>1974.75</v>
      </c>
      <c r="H563" s="18">
        <v>100</v>
      </c>
      <c r="I563" s="18">
        <v>0</v>
      </c>
      <c r="J563" s="18">
        <v>0</v>
      </c>
      <c r="K563" s="18">
        <v>0</v>
      </c>
      <c r="L563" s="18">
        <v>0</v>
      </c>
      <c r="M563" s="20">
        <v>935604.39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11851</v>
      </c>
      <c r="E564" s="16" t="s">
        <v>11852</v>
      </c>
      <c r="F564" s="18">
        <v>30118.909999999996</v>
      </c>
      <c r="G564" s="18">
        <v>14.11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30133.019999999997</v>
      </c>
      <c r="N564" s="20"/>
      <c r="O564" s="19"/>
    </row>
    <row r="565" spans="1:15" s="16" customFormat="1" x14ac:dyDescent="0.25">
      <c r="A565" s="16" t="s">
        <v>51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11853</v>
      </c>
      <c r="E565" s="16" t="s">
        <v>11854</v>
      </c>
      <c r="F565" s="18">
        <v>296483.74</v>
      </c>
      <c r="G565" s="18">
        <v>15329.939999999999</v>
      </c>
      <c r="H565" s="18">
        <v>10067.869999999999</v>
      </c>
      <c r="I565" s="18">
        <v>0</v>
      </c>
      <c r="J565" s="18">
        <v>8735.67</v>
      </c>
      <c r="K565" s="18">
        <v>0</v>
      </c>
      <c r="L565" s="18">
        <v>43.56</v>
      </c>
      <c r="M565" s="20">
        <v>292966.58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11855</v>
      </c>
      <c r="E566" s="16" t="s">
        <v>11856</v>
      </c>
      <c r="F566" s="18">
        <v>118097.23</v>
      </c>
      <c r="G566" s="18">
        <v>4380</v>
      </c>
      <c r="H566" s="18">
        <v>0</v>
      </c>
      <c r="I566" s="18">
        <v>0</v>
      </c>
      <c r="J566" s="18">
        <v>9366.86</v>
      </c>
      <c r="K566" s="18">
        <v>0</v>
      </c>
      <c r="L566" s="18">
        <v>0</v>
      </c>
      <c r="M566" s="20">
        <v>113110.37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11857</v>
      </c>
      <c r="E567" s="16" t="s">
        <v>11858</v>
      </c>
      <c r="F567" s="18">
        <v>41.99</v>
      </c>
      <c r="G567" s="18">
        <v>3.89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45.88</v>
      </c>
      <c r="N567" s="20"/>
      <c r="O567" s="19"/>
    </row>
    <row r="568" spans="1:15" s="16" customFormat="1" x14ac:dyDescent="0.25">
      <c r="A568" s="16" t="s">
        <v>51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11859</v>
      </c>
      <c r="E568" s="16" t="s">
        <v>11860</v>
      </c>
      <c r="F568" s="18">
        <v>94404.34</v>
      </c>
      <c r="G568" s="18">
        <v>3414.3500000000004</v>
      </c>
      <c r="H568" s="18">
        <v>5809.0099999999993</v>
      </c>
      <c r="I568" s="18">
        <v>0</v>
      </c>
      <c r="J568" s="18">
        <v>3991.86</v>
      </c>
      <c r="K568" s="18">
        <v>0</v>
      </c>
      <c r="L568" s="18">
        <v>52.73</v>
      </c>
      <c r="M568" s="20">
        <v>87965.09</v>
      </c>
      <c r="N568" s="20"/>
      <c r="O568" s="19"/>
    </row>
    <row r="569" spans="1:15" s="16" customFormat="1" hidden="1" x14ac:dyDescent="0.25">
      <c r="A569" s="16" t="s">
        <v>51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11861</v>
      </c>
      <c r="E569" s="16" t="s">
        <v>11862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11863</v>
      </c>
      <c r="E570" s="16" t="s">
        <v>11864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11865</v>
      </c>
      <c r="E571" s="16" t="s">
        <v>11866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11867</v>
      </c>
      <c r="E572" s="16" t="s">
        <v>11868</v>
      </c>
      <c r="F572" s="18">
        <v>8274.84</v>
      </c>
      <c r="G572" s="18">
        <v>3.52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8278.36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11869</v>
      </c>
      <c r="E573" s="16" t="s">
        <v>11870</v>
      </c>
      <c r="F573" s="18">
        <v>187063.66999999998</v>
      </c>
      <c r="G573" s="18">
        <v>87.52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187151.19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11871</v>
      </c>
      <c r="E574" s="16" t="s">
        <v>11872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11873</v>
      </c>
      <c r="E575" s="16" t="s">
        <v>11874</v>
      </c>
      <c r="F575" s="18">
        <v>3348236.8800000004</v>
      </c>
      <c r="G575" s="18">
        <v>2450.3300000000004</v>
      </c>
      <c r="H575" s="18">
        <v>619.63</v>
      </c>
      <c r="I575" s="18">
        <v>0</v>
      </c>
      <c r="J575" s="18">
        <v>321.75</v>
      </c>
      <c r="K575" s="18">
        <v>0</v>
      </c>
      <c r="L575" s="18">
        <v>0</v>
      </c>
      <c r="M575" s="20">
        <v>3349745.83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11875</v>
      </c>
      <c r="E576" s="16" t="s">
        <v>11876</v>
      </c>
      <c r="F576" s="18">
        <v>327363.84999999998</v>
      </c>
      <c r="G576" s="18">
        <v>3509.9999999999995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330873.84999999998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11877</v>
      </c>
      <c r="E577" s="16" t="s">
        <v>11878</v>
      </c>
      <c r="F577" s="18">
        <v>139545.91</v>
      </c>
      <c r="G577" s="18">
        <v>62.12</v>
      </c>
      <c r="H577" s="18">
        <v>4441</v>
      </c>
      <c r="I577" s="18">
        <v>0</v>
      </c>
      <c r="J577" s="18">
        <v>2093.64</v>
      </c>
      <c r="K577" s="18">
        <v>0</v>
      </c>
      <c r="L577" s="18">
        <v>108.46000000000001</v>
      </c>
      <c r="M577" s="20">
        <v>132964.93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11879</v>
      </c>
      <c r="E578" s="16" t="s">
        <v>11880</v>
      </c>
      <c r="F578" s="18">
        <v>96378.81</v>
      </c>
      <c r="G578" s="18">
        <v>850</v>
      </c>
      <c r="H578" s="18">
        <v>0</v>
      </c>
      <c r="I578" s="18">
        <v>0</v>
      </c>
      <c r="J578" s="18">
        <v>2626.2599999999998</v>
      </c>
      <c r="K578" s="18">
        <v>0</v>
      </c>
      <c r="L578" s="18">
        <v>0</v>
      </c>
      <c r="M578" s="20">
        <v>94602.55</v>
      </c>
      <c r="N578" s="20"/>
      <c r="O578" s="19"/>
    </row>
    <row r="579" spans="1:15" s="16" customFormat="1" x14ac:dyDescent="0.25">
      <c r="A579" s="16" t="s">
        <v>51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11881</v>
      </c>
      <c r="E579" s="16" t="s">
        <v>11882</v>
      </c>
      <c r="F579" s="18">
        <v>273095.52999999997</v>
      </c>
      <c r="G579" s="18">
        <v>709.28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273804.81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11883</v>
      </c>
      <c r="E580" s="16" t="s">
        <v>11884</v>
      </c>
      <c r="F580" s="18">
        <v>147521.54</v>
      </c>
      <c r="G580" s="18">
        <v>57.190000000000005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147578.73000000001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11885</v>
      </c>
      <c r="E581" s="16" t="s">
        <v>11886</v>
      </c>
      <c r="F581" s="18">
        <v>12748.5</v>
      </c>
      <c r="G581" s="18">
        <v>6.36</v>
      </c>
      <c r="H581" s="18">
        <v>856.93999999999994</v>
      </c>
      <c r="I581" s="18">
        <v>0</v>
      </c>
      <c r="J581" s="18">
        <v>531.44000000000005</v>
      </c>
      <c r="K581" s="18">
        <v>0</v>
      </c>
      <c r="L581" s="18">
        <v>0</v>
      </c>
      <c r="M581" s="20">
        <v>11366.48</v>
      </c>
      <c r="N581" s="20"/>
      <c r="O581" s="19"/>
    </row>
    <row r="582" spans="1:15" s="16" customFormat="1" x14ac:dyDescent="0.25">
      <c r="A582" s="16" t="s">
        <v>51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11887</v>
      </c>
      <c r="E582" s="16" t="s">
        <v>11888</v>
      </c>
      <c r="F582" s="18">
        <v>501810</v>
      </c>
      <c r="G582" s="18">
        <v>33139.410000000003</v>
      </c>
      <c r="H582" s="18">
        <v>31159.57</v>
      </c>
      <c r="I582" s="18">
        <v>639</v>
      </c>
      <c r="J582" s="18">
        <v>2938.35</v>
      </c>
      <c r="K582" s="18">
        <v>0</v>
      </c>
      <c r="L582" s="18">
        <v>337.93</v>
      </c>
      <c r="M582" s="20">
        <v>501152.56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11889</v>
      </c>
      <c r="E583" s="16" t="s">
        <v>11890</v>
      </c>
      <c r="F583" s="18">
        <v>60410.74</v>
      </c>
      <c r="G583" s="18">
        <v>350</v>
      </c>
      <c r="H583" s="18">
        <v>13.38</v>
      </c>
      <c r="I583" s="18">
        <v>0</v>
      </c>
      <c r="J583" s="18">
        <v>0</v>
      </c>
      <c r="K583" s="18">
        <v>0</v>
      </c>
      <c r="L583" s="18">
        <v>65.350000000000009</v>
      </c>
      <c r="M583" s="20">
        <v>60682.009999999995</v>
      </c>
      <c r="N583" s="20"/>
      <c r="O583" s="19"/>
    </row>
    <row r="584" spans="1:15" s="16" customFormat="1" hidden="1" x14ac:dyDescent="0.25">
      <c r="A584" s="16" t="s">
        <v>51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11891</v>
      </c>
      <c r="E584" s="16" t="s">
        <v>11892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11893</v>
      </c>
      <c r="E585" s="16" t="s">
        <v>11894</v>
      </c>
      <c r="F585" s="18">
        <v>193801.49000000002</v>
      </c>
      <c r="G585" s="18">
        <v>8681.83</v>
      </c>
      <c r="H585" s="18">
        <v>2765.06</v>
      </c>
      <c r="I585" s="18">
        <v>0</v>
      </c>
      <c r="J585" s="18">
        <v>1939.96</v>
      </c>
      <c r="K585" s="18">
        <v>0</v>
      </c>
      <c r="L585" s="18">
        <v>33989.69</v>
      </c>
      <c r="M585" s="20">
        <v>163788.61000000002</v>
      </c>
      <c r="N585" s="20"/>
      <c r="O585" s="19"/>
    </row>
    <row r="586" spans="1:15" s="16" customFormat="1" x14ac:dyDescent="0.25">
      <c r="A586" s="16" t="s">
        <v>51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11895</v>
      </c>
      <c r="E586" s="16" t="s">
        <v>11896</v>
      </c>
      <c r="F586" s="18">
        <v>2331521.8000000003</v>
      </c>
      <c r="G586" s="18">
        <v>457.59</v>
      </c>
      <c r="H586" s="18">
        <v>35854.959999999999</v>
      </c>
      <c r="I586" s="18">
        <v>0</v>
      </c>
      <c r="J586" s="18">
        <v>16691.91</v>
      </c>
      <c r="K586" s="18">
        <v>0</v>
      </c>
      <c r="L586" s="18">
        <v>78.17</v>
      </c>
      <c r="M586" s="20">
        <v>2279354.3499999996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11897</v>
      </c>
      <c r="E587" s="16" t="s">
        <v>11898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11899</v>
      </c>
      <c r="E588" s="16" t="s">
        <v>11900</v>
      </c>
      <c r="F588" s="18">
        <v>52453.259999999995</v>
      </c>
      <c r="G588" s="18">
        <v>8250</v>
      </c>
      <c r="H588" s="18">
        <v>15071.75</v>
      </c>
      <c r="I588" s="18">
        <v>0</v>
      </c>
      <c r="J588" s="18">
        <v>0</v>
      </c>
      <c r="K588" s="18">
        <v>9948.5</v>
      </c>
      <c r="L588" s="18">
        <v>9948.5</v>
      </c>
      <c r="M588" s="20">
        <v>45631.51</v>
      </c>
      <c r="N588" s="20"/>
      <c r="O588" s="19"/>
    </row>
    <row r="589" spans="1:15" s="16" customFormat="1" hidden="1" x14ac:dyDescent="0.25">
      <c r="A589" s="16" t="s">
        <v>51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11901</v>
      </c>
      <c r="E589" s="16" t="s">
        <v>11902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11903</v>
      </c>
      <c r="E590" s="16" t="s">
        <v>11904</v>
      </c>
      <c r="F590" s="18">
        <v>331121.65000000002</v>
      </c>
      <c r="G590" s="18">
        <v>3910.0000000000005</v>
      </c>
      <c r="H590" s="18">
        <v>0</v>
      </c>
      <c r="I590" s="18">
        <v>0</v>
      </c>
      <c r="J590" s="18">
        <v>12524.470000000001</v>
      </c>
      <c r="K590" s="18">
        <v>0</v>
      </c>
      <c r="L590" s="18">
        <v>0</v>
      </c>
      <c r="M590" s="20">
        <v>322507.18</v>
      </c>
      <c r="N590" s="20"/>
      <c r="O590" s="19"/>
    </row>
    <row r="591" spans="1:15" s="16" customFormat="1" x14ac:dyDescent="0.25">
      <c r="A591" s="16" t="s">
        <v>51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11905</v>
      </c>
      <c r="E591" s="16" t="s">
        <v>11906</v>
      </c>
      <c r="F591" s="18">
        <v>535923.70000000007</v>
      </c>
      <c r="G591" s="18">
        <v>246.82999999999998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536170.53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11907</v>
      </c>
      <c r="E592" s="16" t="s">
        <v>11908</v>
      </c>
      <c r="F592" s="18">
        <v>3996.4599999999996</v>
      </c>
      <c r="G592" s="18">
        <v>27.8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4024.26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11909</v>
      </c>
      <c r="E593" s="16" t="s">
        <v>11910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11911</v>
      </c>
      <c r="E594" s="16" t="s">
        <v>11912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11913</v>
      </c>
      <c r="E595" s="16" t="s">
        <v>11914</v>
      </c>
      <c r="F595" s="18">
        <v>8081850.1400000006</v>
      </c>
      <c r="G595" s="18">
        <v>1500</v>
      </c>
      <c r="H595" s="18">
        <v>3751199.9999999995</v>
      </c>
      <c r="I595" s="18">
        <v>0</v>
      </c>
      <c r="J595" s="18">
        <v>0</v>
      </c>
      <c r="K595" s="18">
        <v>0</v>
      </c>
      <c r="L595" s="18">
        <v>0</v>
      </c>
      <c r="M595" s="20">
        <v>4332150.1399999997</v>
      </c>
      <c r="N595" s="20"/>
      <c r="O595" s="19"/>
    </row>
    <row r="596" spans="1:15" s="16" customFormat="1" x14ac:dyDescent="0.25">
      <c r="A596" s="16" t="s">
        <v>51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11915</v>
      </c>
      <c r="E596" s="16" t="s">
        <v>11916</v>
      </c>
      <c r="F596" s="18">
        <v>3803857.35</v>
      </c>
      <c r="G596" s="18">
        <v>1683.4499999999998</v>
      </c>
      <c r="H596" s="18">
        <v>135113.57</v>
      </c>
      <c r="I596" s="18">
        <v>0</v>
      </c>
      <c r="J596" s="18">
        <v>0</v>
      </c>
      <c r="K596" s="18">
        <v>0</v>
      </c>
      <c r="L596" s="18">
        <v>0</v>
      </c>
      <c r="M596" s="20">
        <v>3670427.23</v>
      </c>
      <c r="N596" s="20"/>
      <c r="O596" s="19"/>
    </row>
    <row r="597" spans="1:15" s="16" customFormat="1" x14ac:dyDescent="0.25">
      <c r="A597" s="16" t="s">
        <v>51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11917</v>
      </c>
      <c r="E597" s="16" t="s">
        <v>11918</v>
      </c>
      <c r="F597" s="18">
        <v>743981.78999999992</v>
      </c>
      <c r="G597" s="18">
        <v>48600.000000000007</v>
      </c>
      <c r="H597" s="18">
        <v>999.99999999999989</v>
      </c>
      <c r="I597" s="18">
        <v>0</v>
      </c>
      <c r="J597" s="18">
        <v>0</v>
      </c>
      <c r="K597" s="18">
        <v>162445</v>
      </c>
      <c r="L597" s="18">
        <v>170582.55000000002</v>
      </c>
      <c r="M597" s="20">
        <v>783444.24</v>
      </c>
      <c r="N597" s="20"/>
      <c r="O597" s="19"/>
    </row>
    <row r="598" spans="1:15" s="16" customFormat="1" hidden="1" x14ac:dyDescent="0.25">
      <c r="A598" s="16" t="s">
        <v>51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11919</v>
      </c>
      <c r="E598" s="16" t="s">
        <v>11920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11921</v>
      </c>
      <c r="E599" s="16" t="s">
        <v>11922</v>
      </c>
      <c r="F599" s="18">
        <v>34330.75</v>
      </c>
      <c r="G599" s="18">
        <v>14483.49</v>
      </c>
      <c r="H599" s="18">
        <v>9159.82</v>
      </c>
      <c r="I599" s="18">
        <v>0</v>
      </c>
      <c r="J599" s="18">
        <v>5076.16</v>
      </c>
      <c r="K599" s="18">
        <v>0</v>
      </c>
      <c r="L599" s="18">
        <v>0</v>
      </c>
      <c r="M599" s="20">
        <v>34578.26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11923</v>
      </c>
      <c r="E600" s="16" t="s">
        <v>11924</v>
      </c>
      <c r="F600" s="18">
        <v>198402.65000000002</v>
      </c>
      <c r="G600" s="18">
        <v>1510</v>
      </c>
      <c r="H600" s="18">
        <v>0</v>
      </c>
      <c r="I600" s="18">
        <v>0</v>
      </c>
      <c r="J600" s="18">
        <v>6936.0999999999995</v>
      </c>
      <c r="K600" s="18">
        <v>0</v>
      </c>
      <c r="L600" s="18">
        <v>0</v>
      </c>
      <c r="M600" s="20">
        <v>192976.55</v>
      </c>
      <c r="N600" s="20"/>
      <c r="O600" s="19"/>
    </row>
    <row r="601" spans="1:15" s="16" customFormat="1" x14ac:dyDescent="0.25">
      <c r="A601" s="16" t="s">
        <v>51</v>
      </c>
      <c r="B601" s="16" t="str">
        <f t="shared" si="9"/>
        <v>show</v>
      </c>
      <c r="C601" s="17" t="str">
        <f>"""MO State Treasurer"",""MO State Treasurers Office"",""37001020"",""1"",""0846"""</f>
        <v>"MO State Treasurer","MO State Treasurers Office","37001020","1","0846"</v>
      </c>
      <c r="D601" s="16" t="s">
        <v>11925</v>
      </c>
      <c r="E601" s="16" t="s">
        <v>11926</v>
      </c>
      <c r="F601" s="18">
        <v>0</v>
      </c>
      <c r="G601" s="18">
        <v>998.44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998.44</v>
      </c>
      <c r="N601" s="20"/>
      <c r="O601" s="19"/>
    </row>
    <row r="602" spans="1:15" s="16" customFormat="1" hidden="1" x14ac:dyDescent="0.25">
      <c r="A602" s="16" t="s">
        <v>51</v>
      </c>
      <c r="B602" s="16" t="str">
        <f t="shared" si="9"/>
        <v>hide</v>
      </c>
      <c r="C602" s="17" t="str">
        <f>"""MO State Treasurer"",""MO State Treasurers Office"",""37001020"",""1"",""0846A"""</f>
        <v>"MO State Treasurer","MO State Treasurers Office","37001020","1","0846A"</v>
      </c>
      <c r="D602" s="16" t="s">
        <v>11927</v>
      </c>
      <c r="E602" s="16" t="s">
        <v>11928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Office"",""37001020"",""1"",""0847"""</f>
        <v>"MO State Treasurer","MO State Treasurers Office","37001020","1","0847"</v>
      </c>
      <c r="D603" s="16" t="s">
        <v>11929</v>
      </c>
      <c r="E603" s="16" t="s">
        <v>11930</v>
      </c>
      <c r="F603" s="18">
        <v>1065702.81</v>
      </c>
      <c r="G603" s="18">
        <v>0</v>
      </c>
      <c r="H603" s="18">
        <v>43745.04</v>
      </c>
      <c r="I603" s="18">
        <v>0</v>
      </c>
      <c r="J603" s="18">
        <v>16193.519999999999</v>
      </c>
      <c r="K603" s="18">
        <v>0</v>
      </c>
      <c r="L603" s="18">
        <v>466.08</v>
      </c>
      <c r="M603" s="20">
        <v>1005298.1699999999</v>
      </c>
      <c r="N603" s="20"/>
      <c r="O603" s="19"/>
    </row>
    <row r="604" spans="1:15" s="16" customFormat="1" x14ac:dyDescent="0.25">
      <c r="A604" s="16" t="s">
        <v>51</v>
      </c>
      <c r="B604" s="16" t="str">
        <f t="shared" si="9"/>
        <v>show</v>
      </c>
      <c r="C604" s="17" t="str">
        <f>"""MO State Treasurer"",""MO State Treasurers Office"",""37001020"",""1"",""0848"""</f>
        <v>"MO State Treasurer","MO State Treasurers Office","37001020","1","0848"</v>
      </c>
      <c r="D604" s="16" t="s">
        <v>11931</v>
      </c>
      <c r="E604" s="16" t="s">
        <v>11932</v>
      </c>
      <c r="F604" s="18">
        <v>0</v>
      </c>
      <c r="G604" s="18">
        <v>0</v>
      </c>
      <c r="H604" s="18">
        <v>5651240.1299999999</v>
      </c>
      <c r="I604" s="18">
        <v>5651240.1299999999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tr">
        <f t="shared" si="9"/>
        <v>hide</v>
      </c>
      <c r="C605" s="17" t="str">
        <f>"""MO State Treasurer"",""MO State Treasurers Office"",""37001020"",""1"",""0849A"""</f>
        <v>"MO State Treasurer","MO State Treasurers Office","37001020","1","0849A"</v>
      </c>
      <c r="D605" s="16" t="s">
        <v>11933</v>
      </c>
      <c r="E605" s="16" t="s">
        <v>11934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tr">
        <f t="shared" si="9"/>
        <v>hide</v>
      </c>
      <c r="C606" s="17" t="str">
        <f>"""MO State Treasurer"",""MO State Treasurers Office"",""37001020"",""1"",""0850A"""</f>
        <v>"MO State Treasurer","MO State Treasurers Office","37001020","1","0850A"</v>
      </c>
      <c r="D606" s="16" t="s">
        <v>11935</v>
      </c>
      <c r="E606" s="16" t="s">
        <v>11936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51</v>
      </c>
      <c r="B607" s="16" t="str">
        <f t="shared" si="9"/>
        <v>hide</v>
      </c>
      <c r="C607" s="17" t="str">
        <f>"""MO State Treasurer"",""MO State Treasurers Office"",""37001020"",""1"",""0851"""</f>
        <v>"MO State Treasurer","MO State Treasurers Office","37001020","1","0851"</v>
      </c>
      <c r="D607" s="16" t="s">
        <v>11937</v>
      </c>
      <c r="E607" s="16" t="s">
        <v>11938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Office"",""37001020"",""1"",""0852"""</f>
        <v>"MO State Treasurer","MO State Treasurers Office","37001020","1","0852"</v>
      </c>
      <c r="D608" s="16" t="s">
        <v>11939</v>
      </c>
      <c r="E608" s="16" t="s">
        <v>11940</v>
      </c>
      <c r="F608" s="18">
        <v>253272.24000000002</v>
      </c>
      <c r="G608" s="18">
        <v>17013.66</v>
      </c>
      <c r="H608" s="18">
        <v>1722.5000000000002</v>
      </c>
      <c r="I608" s="18">
        <v>0</v>
      </c>
      <c r="J608" s="18">
        <v>0</v>
      </c>
      <c r="K608" s="18">
        <v>0</v>
      </c>
      <c r="L608" s="18">
        <v>328.07</v>
      </c>
      <c r="M608" s="20">
        <v>268235.33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Office"",""37001020"",""1"",""0853"""</f>
        <v>"MO State Treasurer","MO State Treasurers Office","37001020","1","0853"</v>
      </c>
      <c r="D609" s="16" t="s">
        <v>11941</v>
      </c>
      <c r="E609" s="16" t="s">
        <v>11942</v>
      </c>
      <c r="F609" s="18">
        <v>138580.13</v>
      </c>
      <c r="G609" s="18">
        <v>1190.67</v>
      </c>
      <c r="H609" s="18">
        <v>124.22</v>
      </c>
      <c r="I609" s="18">
        <v>0</v>
      </c>
      <c r="J609" s="18">
        <v>0</v>
      </c>
      <c r="K609" s="18">
        <v>0</v>
      </c>
      <c r="L609" s="18">
        <v>0</v>
      </c>
      <c r="M609" s="20">
        <v>139646.57999999999</v>
      </c>
      <c r="N609" s="20"/>
      <c r="O609" s="19"/>
    </row>
    <row r="610" spans="1:15" s="16" customFormat="1" x14ac:dyDescent="0.25">
      <c r="A610" s="16" t="s">
        <v>51</v>
      </c>
      <c r="B610" s="16" t="str">
        <f t="shared" si="9"/>
        <v>show</v>
      </c>
      <c r="C610" s="17" t="str">
        <f>"""MO State Treasurer"",""MO State Treasurers Office"",""37001020"",""1"",""0855"""</f>
        <v>"MO State Treasurer","MO State Treasurers Office","37001020","1","0855"</v>
      </c>
      <c r="D610" s="16" t="s">
        <v>11943</v>
      </c>
      <c r="E610" s="16" t="s">
        <v>11944</v>
      </c>
      <c r="F610" s="18">
        <v>34.979999999999997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34.979999999999997</v>
      </c>
      <c r="N610" s="20"/>
      <c r="O610" s="19"/>
    </row>
    <row r="611" spans="1:15" s="16" customFormat="1" hidden="1" x14ac:dyDescent="0.25">
      <c r="A611" s="16" t="s">
        <v>51</v>
      </c>
      <c r="B611" s="16" t="str">
        <f t="shared" si="9"/>
        <v>hide</v>
      </c>
      <c r="C611" s="17" t="str">
        <f>"""MO State Treasurer"",""MO State Treasurers Office"",""37001020"",""1"",""0856"""</f>
        <v>"MO State Treasurer","MO State Treasurers Office","37001020","1","0856"</v>
      </c>
      <c r="D611" s="16" t="s">
        <v>11945</v>
      </c>
      <c r="E611" s="16" t="s">
        <v>11946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tr">
        <f t="shared" si="9"/>
        <v>show</v>
      </c>
      <c r="C612" s="17" t="str">
        <f>"""MO State Treasurer"",""MO State Treasurers Office"",""37001020"",""1"",""0857"""</f>
        <v>"MO State Treasurer","MO State Treasurers Office","37001020","1","0857"</v>
      </c>
      <c r="D612" s="16" t="s">
        <v>11947</v>
      </c>
      <c r="E612" s="16" t="s">
        <v>11948</v>
      </c>
      <c r="F612" s="18">
        <v>146934.54</v>
      </c>
      <c r="G612" s="18">
        <v>1640</v>
      </c>
      <c r="H612" s="18">
        <v>0</v>
      </c>
      <c r="I612" s="18">
        <v>0</v>
      </c>
      <c r="J612" s="18">
        <v>2152.33</v>
      </c>
      <c r="K612" s="18">
        <v>0</v>
      </c>
      <c r="L612" s="18">
        <v>0</v>
      </c>
      <c r="M612" s="20">
        <v>146422.21</v>
      </c>
      <c r="N612" s="20"/>
      <c r="O612" s="19"/>
    </row>
    <row r="613" spans="1:15" s="16" customFormat="1" hidden="1" x14ac:dyDescent="0.25">
      <c r="A613" s="16" t="s">
        <v>51</v>
      </c>
      <c r="B613" s="16" t="str">
        <f t="shared" si="9"/>
        <v>hide</v>
      </c>
      <c r="C613" s="17" t="str">
        <f>"""MO State Treasurer"",""MO State Treasurers Office"",""37001020"",""1"",""0858A"""</f>
        <v>"MO State Treasurer","MO State Treasurers Office","37001020","1","0858A"</v>
      </c>
      <c r="D613" s="16" t="s">
        <v>11949</v>
      </c>
      <c r="E613" s="16" t="s">
        <v>11950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51</v>
      </c>
      <c r="B614" s="16" t="str">
        <f t="shared" si="9"/>
        <v>show</v>
      </c>
      <c r="C614" s="17" t="str">
        <f>"""MO State Treasurer"",""MO State Treasurers Office"",""37001020"",""1"",""0859"""</f>
        <v>"MO State Treasurer","MO State Treasurers Office","37001020","1","0859"</v>
      </c>
      <c r="D614" s="16" t="s">
        <v>11951</v>
      </c>
      <c r="E614" s="16" t="s">
        <v>11952</v>
      </c>
      <c r="F614" s="18">
        <v>1991979.2000000002</v>
      </c>
      <c r="G614" s="18">
        <v>267999.42</v>
      </c>
      <c r="H614" s="18">
        <v>194037.52</v>
      </c>
      <c r="I614" s="18">
        <v>0</v>
      </c>
      <c r="J614" s="18">
        <v>0</v>
      </c>
      <c r="K614" s="18">
        <v>0</v>
      </c>
      <c r="L614" s="18">
        <v>45.06</v>
      </c>
      <c r="M614" s="20">
        <v>2065896.04</v>
      </c>
      <c r="N614" s="20"/>
      <c r="O614" s="19"/>
    </row>
    <row r="615" spans="1:15" s="16" customFormat="1" x14ac:dyDescent="0.25">
      <c r="A615" s="16" t="s">
        <v>51</v>
      </c>
      <c r="B615" s="16" t="str">
        <f t="shared" si="9"/>
        <v>show</v>
      </c>
      <c r="C615" s="17" t="str">
        <f>"""MO State Treasurer"",""MO State Treasurers Office"",""37001020"",""1"",""0860"""</f>
        <v>"MO State Treasurer","MO State Treasurers Office","37001020","1","0860"</v>
      </c>
      <c r="D615" s="16" t="s">
        <v>11953</v>
      </c>
      <c r="E615" s="16" t="s">
        <v>11954</v>
      </c>
      <c r="F615" s="18">
        <v>646451.93000000005</v>
      </c>
      <c r="G615" s="18">
        <v>12921.29</v>
      </c>
      <c r="H615" s="18">
        <v>26062.880000000001</v>
      </c>
      <c r="I615" s="18">
        <v>0</v>
      </c>
      <c r="J615" s="18">
        <v>9119.619999999999</v>
      </c>
      <c r="K615" s="18">
        <v>147074.33000000002</v>
      </c>
      <c r="L615" s="18">
        <v>4.71</v>
      </c>
      <c r="M615" s="20">
        <v>771260.34000000008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Office"",""37001020"",""1"",""0861"""</f>
        <v>"MO State Treasurer","MO State Treasurers Office","37001020","1","0861"</v>
      </c>
      <c r="D616" s="16" t="s">
        <v>11955</v>
      </c>
      <c r="E616" s="16" t="s">
        <v>11956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tr">
        <f t="shared" si="9"/>
        <v>hide</v>
      </c>
      <c r="C617" s="17" t="str">
        <f>"""MO State Treasurer"",""MO State Treasurers Office"",""37001020"",""1"",""0862"""</f>
        <v>"MO State Treasurer","MO State Treasurers Office","37001020","1","0862"</v>
      </c>
      <c r="D617" s="16" t="s">
        <v>11957</v>
      </c>
      <c r="E617" s="16" t="s">
        <v>11958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Office"",""37001020"",""1"",""0863"""</f>
        <v>"MO State Treasurer","MO State Treasurers Office","37001020","1","0863"</v>
      </c>
      <c r="D618" s="16" t="s">
        <v>11959</v>
      </c>
      <c r="E618" s="16" t="s">
        <v>11960</v>
      </c>
      <c r="F618" s="18">
        <v>21468231.300000001</v>
      </c>
      <c r="G618" s="18">
        <v>2932316.37</v>
      </c>
      <c r="H618" s="18">
        <v>4435579.91</v>
      </c>
      <c r="I618" s="18">
        <v>0</v>
      </c>
      <c r="J618" s="18">
        <v>29311.599999999999</v>
      </c>
      <c r="K618" s="18">
        <v>0</v>
      </c>
      <c r="L618" s="18">
        <v>5448.84</v>
      </c>
      <c r="M618" s="20">
        <v>19930207.32</v>
      </c>
      <c r="N618" s="20"/>
      <c r="O618" s="19"/>
    </row>
    <row r="619" spans="1:15" s="16" customFormat="1" hidden="1" x14ac:dyDescent="0.25">
      <c r="A619" s="16" t="s">
        <v>51</v>
      </c>
      <c r="B619" s="16" t="str">
        <f t="shared" si="9"/>
        <v>hide</v>
      </c>
      <c r="C619" s="17" t="str">
        <f>"""MO State Treasurer"",""MO State Treasurers Office"",""37001020"",""1"",""0866"""</f>
        <v>"MO State Treasurer","MO State Treasurers Office","37001020","1","0866"</v>
      </c>
      <c r="D619" s="16" t="s">
        <v>11961</v>
      </c>
      <c r="E619" s="16" t="s">
        <v>11962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51</v>
      </c>
      <c r="B620" s="16" t="str">
        <f t="shared" si="9"/>
        <v>show</v>
      </c>
      <c r="C620" s="17" t="str">
        <f>"""MO State Treasurer"",""MO State Treasurers Office"",""37001020"",""1"",""0867"""</f>
        <v>"MO State Treasurer","MO State Treasurers Office","37001020","1","0867"</v>
      </c>
      <c r="D620" s="16" t="s">
        <v>11963</v>
      </c>
      <c r="E620" s="16" t="s">
        <v>11964</v>
      </c>
      <c r="F620" s="18">
        <v>876538.41</v>
      </c>
      <c r="G620" s="18">
        <v>31166.690000000002</v>
      </c>
      <c r="H620" s="18">
        <v>72003.039999999994</v>
      </c>
      <c r="I620" s="18">
        <v>0</v>
      </c>
      <c r="J620" s="18">
        <v>2615.23</v>
      </c>
      <c r="K620" s="18">
        <v>0</v>
      </c>
      <c r="L620" s="18">
        <v>172.19</v>
      </c>
      <c r="M620" s="20">
        <v>832914.64</v>
      </c>
      <c r="N620" s="20"/>
      <c r="O620" s="19"/>
    </row>
    <row r="621" spans="1:15" s="16" customFormat="1" hidden="1" x14ac:dyDescent="0.25">
      <c r="A621" s="16" t="s">
        <v>51</v>
      </c>
      <c r="B621" s="16" t="str">
        <f t="shared" si="9"/>
        <v>hide</v>
      </c>
      <c r="C621" s="17" t="str">
        <f>"""MO State Treasurer"",""MO State Treasurers Office"",""37001020"",""1"",""0870"""</f>
        <v>"MO State Treasurer","MO State Treasurers Office","37001020","1","0870"</v>
      </c>
      <c r="D621" s="16" t="s">
        <v>11965</v>
      </c>
      <c r="E621" s="16" t="s">
        <v>11966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51</v>
      </c>
      <c r="B622" s="16" t="str">
        <f t="shared" si="9"/>
        <v>show</v>
      </c>
      <c r="C622" s="17" t="str">
        <f>"""MO State Treasurer"",""MO State Treasurers Office"",""37001020"",""1"",""0872"""</f>
        <v>"MO State Treasurer","MO State Treasurers Office","37001020","1","0872"</v>
      </c>
      <c r="D622" s="16" t="s">
        <v>11967</v>
      </c>
      <c r="E622" s="16" t="s">
        <v>11968</v>
      </c>
      <c r="F622" s="18">
        <v>24698.65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24698.65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Office"",""37001020"",""1"",""0873"""</f>
        <v>"MO State Treasurer","MO State Treasurers Office","37001020","1","0873"</v>
      </c>
      <c r="D623" s="16" t="s">
        <v>11969</v>
      </c>
      <c r="E623" s="16" t="s">
        <v>11970</v>
      </c>
      <c r="F623" s="18">
        <v>374560.64</v>
      </c>
      <c r="G623" s="18">
        <v>177.41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374738.05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Office"",""37001020"",""1"",""0877"""</f>
        <v>"MO State Treasurer","MO State Treasurers Office","37001020","1","0877"</v>
      </c>
      <c r="D624" s="16" t="s">
        <v>11971</v>
      </c>
      <c r="E624" s="16" t="s">
        <v>11972</v>
      </c>
      <c r="F624" s="18">
        <v>26908.01</v>
      </c>
      <c r="G624" s="18">
        <v>600</v>
      </c>
      <c r="H624" s="18">
        <v>0</v>
      </c>
      <c r="I624" s="18">
        <v>0</v>
      </c>
      <c r="J624" s="18">
        <v>353.65999999999997</v>
      </c>
      <c r="K624" s="18">
        <v>0</v>
      </c>
      <c r="L624" s="18">
        <v>0</v>
      </c>
      <c r="M624" s="20">
        <v>27154.350000000002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Office"",""37001020"",""1"",""0878"""</f>
        <v>"MO State Treasurer","MO State Treasurers Office","37001020","1","0878"</v>
      </c>
      <c r="D625" s="16" t="s">
        <v>11973</v>
      </c>
      <c r="E625" s="16" t="s">
        <v>11974</v>
      </c>
      <c r="F625" s="18">
        <v>1035510.67</v>
      </c>
      <c r="G625" s="18">
        <v>484.99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1035995.66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Office"",""37001020"",""1"",""0880"""</f>
        <v>"MO State Treasurer","MO State Treasurers Office","37001020","1","0880"</v>
      </c>
      <c r="D626" s="16" t="s">
        <v>11975</v>
      </c>
      <c r="E626" s="16" t="s">
        <v>11976</v>
      </c>
      <c r="F626" s="18">
        <v>7841519.5499999998</v>
      </c>
      <c r="G626" s="18">
        <v>4472.7300000000005</v>
      </c>
      <c r="H626" s="18">
        <v>440460.45</v>
      </c>
      <c r="I626" s="18">
        <v>0</v>
      </c>
      <c r="J626" s="18">
        <v>32917.599999999999</v>
      </c>
      <c r="K626" s="18">
        <v>0</v>
      </c>
      <c r="L626" s="18">
        <v>1654.5900000000001</v>
      </c>
      <c r="M626" s="20">
        <v>7370959.6399999997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Office"",""37001020"",""1"",""0881"""</f>
        <v>"MO State Treasurer","MO State Treasurers Office","37001020","1","0881"</v>
      </c>
      <c r="D627" s="16" t="s">
        <v>11977</v>
      </c>
      <c r="E627" s="16" t="s">
        <v>11978</v>
      </c>
      <c r="F627" s="18">
        <v>24758384.960000001</v>
      </c>
      <c r="G627" s="18">
        <v>3009932.07</v>
      </c>
      <c r="H627" s="18">
        <v>2335929.21</v>
      </c>
      <c r="I627" s="18">
        <v>0</v>
      </c>
      <c r="J627" s="18">
        <v>0</v>
      </c>
      <c r="K627" s="18">
        <v>0</v>
      </c>
      <c r="L627" s="18">
        <v>0</v>
      </c>
      <c r="M627" s="20">
        <v>25432387.820000004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Office"",""37001020"",""1"",""0882"""</f>
        <v>"MO State Treasurer","MO State Treasurers Office","37001020","1","0882"</v>
      </c>
      <c r="D628" s="16" t="s">
        <v>11979</v>
      </c>
      <c r="E628" s="16" t="s">
        <v>11980</v>
      </c>
      <c r="F628" s="18">
        <v>38371.47</v>
      </c>
      <c r="G628" s="18">
        <v>400</v>
      </c>
      <c r="H628" s="18">
        <v>0</v>
      </c>
      <c r="I628" s="18">
        <v>0</v>
      </c>
      <c r="J628" s="18">
        <v>111.33000000000001</v>
      </c>
      <c r="K628" s="18">
        <v>0</v>
      </c>
      <c r="L628" s="18">
        <v>0</v>
      </c>
      <c r="M628" s="20">
        <v>38660.14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Office"",""37001020"",""1"",""0883"""</f>
        <v>"MO State Treasurer","MO State Treasurers Office","37001020","1","0883"</v>
      </c>
      <c r="D629" s="16" t="s">
        <v>11981</v>
      </c>
      <c r="E629" s="16" t="s">
        <v>11982</v>
      </c>
      <c r="F629" s="18">
        <v>199179.96000000002</v>
      </c>
      <c r="G629" s="18">
        <v>6520</v>
      </c>
      <c r="H629" s="18">
        <v>0</v>
      </c>
      <c r="I629" s="18">
        <v>0</v>
      </c>
      <c r="J629" s="18">
        <v>6884.04</v>
      </c>
      <c r="K629" s="18">
        <v>0</v>
      </c>
      <c r="L629" s="18">
        <v>0</v>
      </c>
      <c r="M629" s="20">
        <v>198815.91999999998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Office"",""37001020"",""1"",""0884"""</f>
        <v>"MO State Treasurer","MO State Treasurers Office","37001020","1","0884"</v>
      </c>
      <c r="D630" s="16" t="s">
        <v>11983</v>
      </c>
      <c r="E630" s="16" t="s">
        <v>11984</v>
      </c>
      <c r="F630" s="18">
        <v>567948.27</v>
      </c>
      <c r="G630" s="18">
        <v>7325</v>
      </c>
      <c r="H630" s="18">
        <v>0</v>
      </c>
      <c r="I630" s="18">
        <v>0</v>
      </c>
      <c r="J630" s="18">
        <v>31403.38</v>
      </c>
      <c r="K630" s="18">
        <v>0</v>
      </c>
      <c r="L630" s="18">
        <v>0</v>
      </c>
      <c r="M630" s="20">
        <v>543869.89</v>
      </c>
      <c r="N630" s="20"/>
      <c r="O630" s="19"/>
    </row>
    <row r="631" spans="1:15" s="16" customFormat="1" x14ac:dyDescent="0.25">
      <c r="A631" s="16" t="s">
        <v>51</v>
      </c>
      <c r="B631" s="16" t="str">
        <f t="shared" si="9"/>
        <v>show</v>
      </c>
      <c r="C631" s="17" t="str">
        <f>"""MO State Treasurer"",""MO State Treasurers Office"",""37001020"",""1"",""0885"""</f>
        <v>"MO State Treasurer","MO State Treasurers Office","37001020","1","0885"</v>
      </c>
      <c r="D631" s="16" t="s">
        <v>11985</v>
      </c>
      <c r="E631" s="16" t="s">
        <v>11986</v>
      </c>
      <c r="F631" s="18">
        <v>1504672.56</v>
      </c>
      <c r="G631" s="18">
        <v>1060961.06</v>
      </c>
      <c r="H631" s="18">
        <v>342784.87</v>
      </c>
      <c r="I631" s="18">
        <v>0</v>
      </c>
      <c r="J631" s="18">
        <v>0</v>
      </c>
      <c r="K631" s="18">
        <v>0</v>
      </c>
      <c r="L631" s="18">
        <v>0</v>
      </c>
      <c r="M631" s="20">
        <v>2222848.75</v>
      </c>
      <c r="N631" s="20"/>
      <c r="O631" s="19"/>
    </row>
    <row r="632" spans="1:15" s="16" customFormat="1" hidden="1" x14ac:dyDescent="0.25">
      <c r="A632" s="16" t="s">
        <v>51</v>
      </c>
      <c r="B632" s="16" t="str">
        <f t="shared" si="9"/>
        <v>hide</v>
      </c>
      <c r="C632" s="17" t="str">
        <f>"""MO State Treasurer"",""MO State Treasurers Office"",""37001020"",""1"",""0886"""</f>
        <v>"MO State Treasurer","MO State Treasurers Office","37001020","1","0886"</v>
      </c>
      <c r="D632" s="16" t="s">
        <v>11987</v>
      </c>
      <c r="E632" s="16" t="s">
        <v>11988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51</v>
      </c>
      <c r="B633" s="16" t="str">
        <f t="shared" si="9"/>
        <v>show</v>
      </c>
      <c r="C633" s="17" t="str">
        <f>"""MO State Treasurer"",""MO State Treasurers Office"",""37001020"",""1"",""0887"""</f>
        <v>"MO State Treasurer","MO State Treasurers Office","37001020","1","0887"</v>
      </c>
      <c r="D633" s="16" t="s">
        <v>11989</v>
      </c>
      <c r="E633" s="16" t="s">
        <v>11990</v>
      </c>
      <c r="F633" s="18">
        <v>104681.84999999999</v>
      </c>
      <c r="G633" s="18">
        <v>0</v>
      </c>
      <c r="H633" s="18">
        <v>92419.12</v>
      </c>
      <c r="I633" s="18">
        <v>0</v>
      </c>
      <c r="J633" s="18">
        <v>0</v>
      </c>
      <c r="K633" s="18">
        <v>0</v>
      </c>
      <c r="L633" s="18">
        <v>0</v>
      </c>
      <c r="M633" s="20">
        <v>12262.730000000001</v>
      </c>
      <c r="N633" s="20"/>
      <c r="O633" s="19"/>
    </row>
    <row r="634" spans="1:15" s="16" customFormat="1" hidden="1" x14ac:dyDescent="0.25">
      <c r="A634" s="16" t="s">
        <v>51</v>
      </c>
      <c r="B634" s="16" t="str">
        <f t="shared" si="9"/>
        <v>hide</v>
      </c>
      <c r="C634" s="17" t="str">
        <f>"""MO State Treasurer"",""MO State Treasurers Office"",""37001020"",""1"",""0888"""</f>
        <v>"MO State Treasurer","MO State Treasurers Office","37001020","1","0888"</v>
      </c>
      <c r="D634" s="16" t="s">
        <v>11991</v>
      </c>
      <c r="E634" s="16" t="s">
        <v>11992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51</v>
      </c>
      <c r="B635" s="16" t="str">
        <f t="shared" si="9"/>
        <v>show</v>
      </c>
      <c r="C635" s="17" t="str">
        <f>"""MO State Treasurer"",""MO State Treasurers Office"",""37001020"",""1"",""0889"""</f>
        <v>"MO State Treasurer","MO State Treasurers Office","37001020","1","0889"</v>
      </c>
      <c r="D635" s="16" t="s">
        <v>11993</v>
      </c>
      <c r="E635" s="16" t="s">
        <v>11994</v>
      </c>
      <c r="F635" s="18">
        <v>2134099.83</v>
      </c>
      <c r="G635" s="18">
        <v>35224.79</v>
      </c>
      <c r="H635" s="18">
        <v>149420.71</v>
      </c>
      <c r="I635" s="18">
        <v>0</v>
      </c>
      <c r="J635" s="18">
        <v>1814.4999999999998</v>
      </c>
      <c r="K635" s="18">
        <v>0</v>
      </c>
      <c r="L635" s="18">
        <v>40</v>
      </c>
      <c r="M635" s="20">
        <v>2018049.41</v>
      </c>
      <c r="N635" s="20"/>
      <c r="O635" s="19"/>
    </row>
    <row r="636" spans="1:15" s="16" customFormat="1" hidden="1" x14ac:dyDescent="0.25">
      <c r="A636" s="16" t="s">
        <v>51</v>
      </c>
      <c r="B636" s="16" t="str">
        <f t="shared" si="9"/>
        <v>hide</v>
      </c>
      <c r="C636" s="17" t="str">
        <f>"""MO State Treasurer"",""MO State Treasurers Office"",""37001020"",""1"",""0890A"""</f>
        <v>"MO State Treasurer","MO State Treasurers Office","37001020","1","0890A"</v>
      </c>
      <c r="D636" s="16" t="s">
        <v>11995</v>
      </c>
      <c r="E636" s="16" t="s">
        <v>11996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hidden="1" x14ac:dyDescent="0.25">
      <c r="A637" s="16" t="s">
        <v>51</v>
      </c>
      <c r="B637" s="16" t="str">
        <f t="shared" si="9"/>
        <v>hide</v>
      </c>
      <c r="C637" s="17" t="str">
        <f>"""MO State Treasurer"",""MO State Treasurers Office"",""37001020"",""1"",""0891"""</f>
        <v>"MO State Treasurer","MO State Treasurers Office","37001020","1","0891"</v>
      </c>
      <c r="D637" s="16" t="s">
        <v>11997</v>
      </c>
      <c r="E637" s="16" t="s">
        <v>11998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51</v>
      </c>
      <c r="B638" s="16" t="str">
        <f t="shared" si="9"/>
        <v>show</v>
      </c>
      <c r="C638" s="17" t="str">
        <f>"""MO State Treasurer"",""MO State Treasurers Office"",""37001020"",""1"",""0892"""</f>
        <v>"MO State Treasurer","MO State Treasurers Office","37001020","1","0892"</v>
      </c>
      <c r="D638" s="16" t="s">
        <v>11999</v>
      </c>
      <c r="E638" s="16" t="s">
        <v>12000</v>
      </c>
      <c r="F638" s="18">
        <v>257572.99000000002</v>
      </c>
      <c r="G638" s="18">
        <v>25771.8</v>
      </c>
      <c r="H638" s="18">
        <v>20897.349999999999</v>
      </c>
      <c r="I638" s="18">
        <v>0</v>
      </c>
      <c r="J638" s="18">
        <v>0</v>
      </c>
      <c r="K638" s="18">
        <v>0</v>
      </c>
      <c r="L638" s="18">
        <v>0</v>
      </c>
      <c r="M638" s="20">
        <v>262447.44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Office"",""37001020"",""1"",""0893"""</f>
        <v>"MO State Treasurer","MO State Treasurers Office","37001020","1","0893"</v>
      </c>
      <c r="D639" s="16" t="s">
        <v>12001</v>
      </c>
      <c r="E639" s="16" t="s">
        <v>12002</v>
      </c>
      <c r="F639" s="18">
        <v>103.44</v>
      </c>
      <c r="G639" s="18">
        <v>0.01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103.45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Office"",""37001020"",""1"",""0895"""</f>
        <v>"MO State Treasurer","MO State Treasurers Office","37001020","1","0895"</v>
      </c>
      <c r="D640" s="16" t="s">
        <v>12003</v>
      </c>
      <c r="E640" s="16" t="s">
        <v>12004</v>
      </c>
      <c r="F640" s="18">
        <v>106271.81999999999</v>
      </c>
      <c r="G640" s="18">
        <v>49.27</v>
      </c>
      <c r="H640" s="18">
        <v>0</v>
      </c>
      <c r="I640" s="18">
        <v>107.00000000000001</v>
      </c>
      <c r="J640" s="18">
        <v>0</v>
      </c>
      <c r="K640" s="18">
        <v>0</v>
      </c>
      <c r="L640" s="18">
        <v>0</v>
      </c>
      <c r="M640" s="20">
        <v>106428.09</v>
      </c>
      <c r="N640" s="20"/>
      <c r="O640" s="19"/>
    </row>
    <row r="641" spans="1:15" s="16" customFormat="1" x14ac:dyDescent="0.25">
      <c r="A641" s="16" t="s">
        <v>51</v>
      </c>
      <c r="B641" s="16" t="str">
        <f t="shared" si="9"/>
        <v>show</v>
      </c>
      <c r="C641" s="17" t="str">
        <f>"""MO State Treasurer"",""MO State Treasurers Office"",""37001020"",""1"",""0897"""</f>
        <v>"MO State Treasurer","MO State Treasurers Office","37001020","1","0897"</v>
      </c>
      <c r="D641" s="16" t="s">
        <v>12005</v>
      </c>
      <c r="E641" s="16" t="s">
        <v>12006</v>
      </c>
      <c r="F641" s="18">
        <v>211991.88</v>
      </c>
      <c r="G641" s="18">
        <v>2574.0099999999998</v>
      </c>
      <c r="H641" s="18">
        <v>2318.83</v>
      </c>
      <c r="I641" s="18">
        <v>0</v>
      </c>
      <c r="J641" s="18">
        <v>0</v>
      </c>
      <c r="K641" s="18">
        <v>0</v>
      </c>
      <c r="L641" s="18">
        <v>0</v>
      </c>
      <c r="M641" s="20">
        <v>212247.06000000003</v>
      </c>
      <c r="N641" s="20"/>
      <c r="O641" s="19"/>
    </row>
    <row r="642" spans="1:15" s="16" customFormat="1" hidden="1" x14ac:dyDescent="0.25">
      <c r="A642" s="16" t="s">
        <v>51</v>
      </c>
      <c r="B642" s="16" t="str">
        <f t="shared" si="9"/>
        <v>hide</v>
      </c>
      <c r="C642" s="17" t="str">
        <f>"""MO State Treasurer"",""MO State Treasurers Office"",""37001020"",""1"",""0898"""</f>
        <v>"MO State Treasurer","MO State Treasurers Office","37001020","1","0898"</v>
      </c>
      <c r="D642" s="16" t="s">
        <v>12007</v>
      </c>
      <c r="E642" s="16" t="s">
        <v>12008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51</v>
      </c>
      <c r="B643" s="16" t="str">
        <f t="shared" si="9"/>
        <v>show</v>
      </c>
      <c r="C643" s="17" t="str">
        <f>"""MO State Treasurer"",""MO State Treasurers Office"",""37001020"",""1"",""0899"""</f>
        <v>"MO State Treasurer","MO State Treasurers Office","37001020","1","0899"</v>
      </c>
      <c r="D643" s="16" t="s">
        <v>12009</v>
      </c>
      <c r="E643" s="16" t="s">
        <v>12010</v>
      </c>
      <c r="F643" s="18">
        <v>63956.97</v>
      </c>
      <c r="G643" s="18">
        <v>710.38</v>
      </c>
      <c r="H643" s="18">
        <v>199.53000000000003</v>
      </c>
      <c r="I643" s="18">
        <v>418.99999999999994</v>
      </c>
      <c r="J643" s="18">
        <v>0</v>
      </c>
      <c r="K643" s="18">
        <v>0</v>
      </c>
      <c r="L643" s="18">
        <v>0</v>
      </c>
      <c r="M643" s="20">
        <v>64886.82</v>
      </c>
      <c r="N643" s="20"/>
      <c r="O643" s="19"/>
    </row>
    <row r="644" spans="1:15" s="16" customFormat="1" x14ac:dyDescent="0.25">
      <c r="A644" s="16" t="s">
        <v>51</v>
      </c>
      <c r="B644" s="16" t="str">
        <f t="shared" si="9"/>
        <v>show</v>
      </c>
      <c r="C644" s="17" t="str">
        <f>"""MO State Treasurer"",""MO State Treasurers Office"",""37001020"",""1"",""0900"""</f>
        <v>"MO State Treasurer","MO State Treasurers Office","37001020","1","0900"</v>
      </c>
      <c r="D644" s="16" t="s">
        <v>12011</v>
      </c>
      <c r="E644" s="16" t="s">
        <v>12012</v>
      </c>
      <c r="F644" s="18">
        <v>3265569.84</v>
      </c>
      <c r="G644" s="18">
        <v>2121</v>
      </c>
      <c r="H644" s="18">
        <v>78268.900000000009</v>
      </c>
      <c r="I644" s="18">
        <v>552</v>
      </c>
      <c r="J644" s="18">
        <v>40933.230000000003</v>
      </c>
      <c r="K644" s="18">
        <v>0</v>
      </c>
      <c r="L644" s="18">
        <v>193.66</v>
      </c>
      <c r="M644" s="20">
        <v>3148847.0500000003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Office"",""37001020"",""1"",""0901"""</f>
        <v>"MO State Treasurer","MO State Treasurers Office","37001020","1","0901"</v>
      </c>
      <c r="D645" s="16" t="s">
        <v>12013</v>
      </c>
      <c r="E645" s="16" t="s">
        <v>12014</v>
      </c>
      <c r="F645" s="18">
        <v>4077.41</v>
      </c>
      <c r="G645" s="18">
        <v>21.37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4098.7800000000007</v>
      </c>
      <c r="N645" s="20"/>
      <c r="O645" s="19"/>
    </row>
    <row r="646" spans="1:15" s="16" customFormat="1" x14ac:dyDescent="0.25">
      <c r="A646" s="16" t="s">
        <v>51</v>
      </c>
      <c r="B646" s="16" t="str">
        <f t="shared" si="9"/>
        <v>show</v>
      </c>
      <c r="C646" s="17" t="str">
        <f>"""MO State Treasurer"",""MO State Treasurers Office"",""37001020"",""1"",""0904"""</f>
        <v>"MO State Treasurer","MO State Treasurers Office","37001020","1","0904"</v>
      </c>
      <c r="D646" s="16" t="s">
        <v>12015</v>
      </c>
      <c r="E646" s="16" t="s">
        <v>12016</v>
      </c>
      <c r="F646" s="18">
        <v>75123.649999999994</v>
      </c>
      <c r="G646" s="18">
        <v>844.11</v>
      </c>
      <c r="H646" s="18">
        <v>7775.88</v>
      </c>
      <c r="I646" s="18">
        <v>0</v>
      </c>
      <c r="J646" s="18">
        <v>2463.7800000000002</v>
      </c>
      <c r="K646" s="18">
        <v>0</v>
      </c>
      <c r="L646" s="18">
        <v>4.83</v>
      </c>
      <c r="M646" s="20">
        <v>65723.27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Office"",""37001020"",""1"",""0905"""</f>
        <v>"MO State Treasurer","MO State Treasurers Office","37001020","1","0905"</v>
      </c>
      <c r="D647" s="16" t="s">
        <v>12017</v>
      </c>
      <c r="E647" s="16" t="s">
        <v>12018</v>
      </c>
      <c r="F647" s="18">
        <v>4021617.04</v>
      </c>
      <c r="G647" s="18">
        <v>998915.77</v>
      </c>
      <c r="H647" s="18">
        <v>914946.58</v>
      </c>
      <c r="I647" s="18">
        <v>0</v>
      </c>
      <c r="J647" s="18">
        <v>0</v>
      </c>
      <c r="K647" s="18">
        <v>0</v>
      </c>
      <c r="L647" s="18">
        <v>16657.189999999999</v>
      </c>
      <c r="M647" s="20">
        <v>4088929.04</v>
      </c>
      <c r="N647" s="20"/>
      <c r="O647" s="19"/>
    </row>
    <row r="648" spans="1:15" s="16" customFormat="1" x14ac:dyDescent="0.25">
      <c r="A648" s="16" t="s">
        <v>51</v>
      </c>
      <c r="B648" s="16" t="str">
        <f t="shared" si="9"/>
        <v>show</v>
      </c>
      <c r="C648" s="17" t="str">
        <f>"""MO State Treasurer"",""MO State Treasurers Office"",""37001020"",""1"",""0906"""</f>
        <v>"MO State Treasurer","MO State Treasurers Office","37001020","1","0906"</v>
      </c>
      <c r="D648" s="16" t="s">
        <v>12019</v>
      </c>
      <c r="E648" s="16" t="s">
        <v>12020</v>
      </c>
      <c r="F648" s="18">
        <v>1267700.9099999999</v>
      </c>
      <c r="G648" s="18">
        <v>54060.479999999996</v>
      </c>
      <c r="H648" s="18">
        <v>33960.32</v>
      </c>
      <c r="I648" s="18">
        <v>0</v>
      </c>
      <c r="J648" s="18">
        <v>25411.99</v>
      </c>
      <c r="K648" s="18">
        <v>0</v>
      </c>
      <c r="L648" s="18">
        <v>3727.16</v>
      </c>
      <c r="M648" s="20">
        <v>1258661.92</v>
      </c>
      <c r="N648" s="20"/>
      <c r="O648" s="19"/>
    </row>
    <row r="649" spans="1:15" s="16" customFormat="1" x14ac:dyDescent="0.25">
      <c r="A649" s="16" t="s">
        <v>51</v>
      </c>
      <c r="B649" s="16" t="str">
        <f t="shared" si="9"/>
        <v>show</v>
      </c>
      <c r="C649" s="17" t="str">
        <f>"""MO State Treasurer"",""MO State Treasurers Office"",""37001020"",""1"",""0907"""</f>
        <v>"MO State Treasurer","MO State Treasurers Office","37001020","1","0907"</v>
      </c>
      <c r="D649" s="16" t="s">
        <v>12021</v>
      </c>
      <c r="E649" s="16" t="s">
        <v>12022</v>
      </c>
      <c r="F649" s="18">
        <v>145.13999999999999</v>
      </c>
      <c r="G649" s="18">
        <v>0.67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145.81</v>
      </c>
      <c r="N649" s="20"/>
      <c r="O649" s="19"/>
    </row>
    <row r="650" spans="1:15" s="16" customFormat="1" hidden="1" x14ac:dyDescent="0.25">
      <c r="A650" s="16" t="s">
        <v>51</v>
      </c>
      <c r="B650" s="16" t="str">
        <f t="shared" si="9"/>
        <v>hide</v>
      </c>
      <c r="C650" s="17" t="str">
        <f>"""MO State Treasurer"",""MO State Treasurers Office"",""37001020"",""1"",""0908"""</f>
        <v>"MO State Treasurer","MO State Treasurers Office","37001020","1","0908"</v>
      </c>
      <c r="D650" s="16" t="s">
        <v>12023</v>
      </c>
      <c r="E650" s="16" t="s">
        <v>12024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51</v>
      </c>
      <c r="B651" s="16" t="str">
        <f t="shared" si="9"/>
        <v>show</v>
      </c>
      <c r="C651" s="17" t="str">
        <f>"""MO State Treasurer"",""MO State Treasurers Office"",""37001020"",""1"",""0909"""</f>
        <v>"MO State Treasurer","MO State Treasurers Office","37001020","1","0909"</v>
      </c>
      <c r="D651" s="16" t="s">
        <v>12025</v>
      </c>
      <c r="E651" s="16" t="s">
        <v>12026</v>
      </c>
      <c r="F651" s="18">
        <v>47843.64</v>
      </c>
      <c r="G651" s="18">
        <v>22.36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47866</v>
      </c>
      <c r="N651" s="20"/>
      <c r="O651" s="19"/>
    </row>
    <row r="652" spans="1:15" s="16" customFormat="1" x14ac:dyDescent="0.25">
      <c r="A652" s="16" t="s">
        <v>51</v>
      </c>
      <c r="B652" s="16" t="str">
        <f t="shared" si="9"/>
        <v>show</v>
      </c>
      <c r="C652" s="17" t="str">
        <f>"""MO State Treasurer"",""MO State Treasurers Office"",""37001020"",""1"",""0910"""</f>
        <v>"MO State Treasurer","MO State Treasurers Office","37001020","1","0910"</v>
      </c>
      <c r="D652" s="16" t="s">
        <v>12027</v>
      </c>
      <c r="E652" s="16" t="s">
        <v>12028</v>
      </c>
      <c r="F652" s="18">
        <v>136907.20000000001</v>
      </c>
      <c r="G652" s="18">
        <v>413.23999999999995</v>
      </c>
      <c r="H652" s="18">
        <v>273724.59000000003</v>
      </c>
      <c r="I652" s="18">
        <v>0</v>
      </c>
      <c r="J652" s="18">
        <v>0</v>
      </c>
      <c r="K652" s="18">
        <v>136610.77000000002</v>
      </c>
      <c r="L652" s="18">
        <v>0</v>
      </c>
      <c r="M652" s="20">
        <v>206.61999999999998</v>
      </c>
      <c r="N652" s="20"/>
      <c r="O652" s="19"/>
    </row>
    <row r="653" spans="1:15" s="16" customFormat="1" x14ac:dyDescent="0.25">
      <c r="A653" s="16" t="s">
        <v>51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Office"",""37001020"",""1"",""0911"""</f>
        <v>"MO State Treasurer","MO State Treasurers Office","37001020","1","0911"</v>
      </c>
      <c r="D653" s="16" t="s">
        <v>12029</v>
      </c>
      <c r="E653" s="16" t="s">
        <v>12030</v>
      </c>
      <c r="F653" s="18">
        <v>896780.24</v>
      </c>
      <c r="G653" s="18">
        <v>25338.25</v>
      </c>
      <c r="H653" s="18">
        <v>57079.64</v>
      </c>
      <c r="I653" s="18">
        <v>0</v>
      </c>
      <c r="J653" s="18">
        <v>3783.27</v>
      </c>
      <c r="K653" s="18">
        <v>0</v>
      </c>
      <c r="L653" s="18">
        <v>0</v>
      </c>
      <c r="M653" s="20">
        <v>861255.58</v>
      </c>
      <c r="N653" s="20"/>
      <c r="O653" s="19"/>
    </row>
    <row r="654" spans="1:15" s="16" customFormat="1" hidden="1" x14ac:dyDescent="0.25">
      <c r="A654" s="16" t="s">
        <v>51</v>
      </c>
      <c r="B654" s="16" t="str">
        <f t="shared" si="10"/>
        <v>hide</v>
      </c>
      <c r="C654" s="17" t="str">
        <f>"""MO State Treasurer"",""MO State Treasurers Office"",""37001020"",""1"",""0912"""</f>
        <v>"MO State Treasurer","MO State Treasurers Office","37001020","1","0912"</v>
      </c>
      <c r="D654" s="16" t="s">
        <v>12031</v>
      </c>
      <c r="E654" s="16" t="s">
        <v>12032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51</v>
      </c>
      <c r="B655" s="16" t="str">
        <f t="shared" si="10"/>
        <v>show</v>
      </c>
      <c r="C655" s="17" t="str">
        <f>"""MO State Treasurer"",""MO State Treasurers Office"",""37001020"",""1"",""0913"""</f>
        <v>"MO State Treasurer","MO State Treasurers Office","37001020","1","0913"</v>
      </c>
      <c r="D655" s="16" t="s">
        <v>12033</v>
      </c>
      <c r="E655" s="16" t="s">
        <v>12034</v>
      </c>
      <c r="F655" s="18">
        <v>7400578.3799999999</v>
      </c>
      <c r="G655" s="18">
        <v>166723.66</v>
      </c>
      <c r="H655" s="18">
        <v>285444.44</v>
      </c>
      <c r="I655" s="18">
        <v>0</v>
      </c>
      <c r="J655" s="18">
        <v>0</v>
      </c>
      <c r="K655" s="18">
        <v>0</v>
      </c>
      <c r="L655" s="18">
        <v>0</v>
      </c>
      <c r="M655" s="20">
        <v>7281857.6000000006</v>
      </c>
      <c r="N655" s="20"/>
      <c r="O655" s="19"/>
    </row>
    <row r="656" spans="1:15" s="16" customFormat="1" hidden="1" x14ac:dyDescent="0.25">
      <c r="A656" s="16" t="s">
        <v>51</v>
      </c>
      <c r="B656" s="16" t="str">
        <f t="shared" si="10"/>
        <v>hide</v>
      </c>
      <c r="C656" s="17" t="str">
        <f>"""MO State Treasurer"",""MO State Treasurers Office"",""37001020"",""1"",""0914"""</f>
        <v>"MO State Treasurer","MO State Treasurers Office","37001020","1","0914"</v>
      </c>
      <c r="D656" s="16" t="s">
        <v>12035</v>
      </c>
      <c r="E656" s="16" t="s">
        <v>12036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hidden="1" x14ac:dyDescent="0.25">
      <c r="A657" s="16" t="s">
        <v>51</v>
      </c>
      <c r="B657" s="16" t="str">
        <f t="shared" si="10"/>
        <v>hide</v>
      </c>
      <c r="C657" s="17" t="str">
        <f>"""MO State Treasurer"",""MO State Treasurers Office"",""37001020"",""1"",""0915"""</f>
        <v>"MO State Treasurer","MO State Treasurers Office","37001020","1","0915"</v>
      </c>
      <c r="D657" s="16" t="s">
        <v>12037</v>
      </c>
      <c r="E657" s="16" t="s">
        <v>12038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51</v>
      </c>
      <c r="B658" s="16" t="str">
        <f t="shared" si="10"/>
        <v>show</v>
      </c>
      <c r="C658" s="17" t="str">
        <f>"""MO State Treasurer"",""MO State Treasurers Office"",""37001020"",""1"",""0917"""</f>
        <v>"MO State Treasurer","MO State Treasurers Office","37001020","1","0917"</v>
      </c>
      <c r="D658" s="16" t="s">
        <v>12039</v>
      </c>
      <c r="E658" s="16" t="s">
        <v>12040</v>
      </c>
      <c r="F658" s="18">
        <v>3221.8900000000003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3221.8900000000003</v>
      </c>
      <c r="N658" s="20"/>
      <c r="O658" s="19"/>
    </row>
    <row r="659" spans="1:15" s="16" customFormat="1" hidden="1" x14ac:dyDescent="0.25">
      <c r="A659" s="16" t="s">
        <v>51</v>
      </c>
      <c r="B659" s="16" t="str">
        <f t="shared" si="10"/>
        <v>hide</v>
      </c>
      <c r="C659" s="17" t="str">
        <f>"""MO State Treasurer"",""MO State Treasurers Office"",""37001020"",""1"",""0919A"""</f>
        <v>"MO State Treasurer","MO State Treasurers Office","37001020","1","0919A"</v>
      </c>
      <c r="D659" s="16" t="s">
        <v>12041</v>
      </c>
      <c r="E659" s="16" t="s">
        <v>12042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51</v>
      </c>
      <c r="B660" s="16" t="str">
        <f t="shared" si="10"/>
        <v>show</v>
      </c>
      <c r="C660" s="17" t="str">
        <f>"""MO State Treasurer"",""MO State Treasurers Office"",""37001020"",""1"",""0920"""</f>
        <v>"MO State Treasurer","MO State Treasurers Office","37001020","1","0920"</v>
      </c>
      <c r="D660" s="16" t="s">
        <v>12043</v>
      </c>
      <c r="E660" s="16" t="s">
        <v>12044</v>
      </c>
      <c r="F660" s="18">
        <v>121346.61000000002</v>
      </c>
      <c r="G660" s="18">
        <v>0</v>
      </c>
      <c r="H660" s="18">
        <v>6156.2400000000007</v>
      </c>
      <c r="I660" s="18">
        <v>0</v>
      </c>
      <c r="J660" s="18">
        <v>0</v>
      </c>
      <c r="K660" s="18">
        <v>0</v>
      </c>
      <c r="L660" s="18">
        <v>0</v>
      </c>
      <c r="M660" s="20">
        <v>115190.37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Office"",""37001020"",""1"",""0922"""</f>
        <v>"MO State Treasurer","MO State Treasurers Office","37001020","1","0922"</v>
      </c>
      <c r="D661" s="16" t="s">
        <v>12045</v>
      </c>
      <c r="E661" s="16" t="s">
        <v>12046</v>
      </c>
      <c r="F661" s="18">
        <v>8888.39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8888.39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Office"",""37001020"",""1"",""0924"""</f>
        <v>"MO State Treasurer","MO State Treasurers Office","37001020","1","0924"</v>
      </c>
      <c r="D662" s="16" t="s">
        <v>12047</v>
      </c>
      <c r="E662" s="16" t="s">
        <v>12048</v>
      </c>
      <c r="F662" s="18">
        <v>23148.62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23148.62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Office"",""37001020"",""1"",""0925"""</f>
        <v>"MO State Treasurer","MO State Treasurers Office","37001020","1","0925"</v>
      </c>
      <c r="D663" s="16" t="s">
        <v>12049</v>
      </c>
      <c r="E663" s="16" t="s">
        <v>12050</v>
      </c>
      <c r="F663" s="18">
        <v>273089.13</v>
      </c>
      <c r="G663" s="18">
        <v>394450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667539.13</v>
      </c>
      <c r="N663" s="20"/>
      <c r="O663" s="19"/>
    </row>
    <row r="664" spans="1:15" s="16" customFormat="1" x14ac:dyDescent="0.25">
      <c r="A664" s="16" t="s">
        <v>51</v>
      </c>
      <c r="B664" s="16" t="str">
        <f t="shared" si="10"/>
        <v>show</v>
      </c>
      <c r="C664" s="17" t="str">
        <f>"""MO State Treasurer"",""MO State Treasurers Office"",""37001020"",""1"",""0926"""</f>
        <v>"MO State Treasurer","MO State Treasurers Office","37001020","1","0926"</v>
      </c>
      <c r="D664" s="16" t="s">
        <v>12051</v>
      </c>
      <c r="E664" s="16" t="s">
        <v>12052</v>
      </c>
      <c r="F664" s="18">
        <v>6200899.5199999996</v>
      </c>
      <c r="G664" s="18">
        <v>853273.73</v>
      </c>
      <c r="H664" s="18">
        <v>62625.01</v>
      </c>
      <c r="I664" s="18">
        <v>0</v>
      </c>
      <c r="J664" s="18">
        <v>6321.46</v>
      </c>
      <c r="K664" s="18">
        <v>0</v>
      </c>
      <c r="L664" s="18">
        <v>0</v>
      </c>
      <c r="M664" s="20">
        <v>6985226.7799999993</v>
      </c>
      <c r="N664" s="20"/>
      <c r="O664" s="19"/>
    </row>
    <row r="665" spans="1:15" s="16" customFormat="1" hidden="1" x14ac:dyDescent="0.25">
      <c r="A665" s="16" t="s">
        <v>51</v>
      </c>
      <c r="B665" s="16" t="str">
        <f t="shared" si="10"/>
        <v>hide</v>
      </c>
      <c r="C665" s="17" t="str">
        <f>"""MO State Treasurer"",""MO State Treasurers Office"",""37001020"",""1"",""0927A"""</f>
        <v>"MO State Treasurer","MO State Treasurers Office","37001020","1","0927A"</v>
      </c>
      <c r="D665" s="16" t="s">
        <v>12053</v>
      </c>
      <c r="E665" s="16" t="s">
        <v>12054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25">
      <c r="A666" s="16" t="s">
        <v>51</v>
      </c>
      <c r="B666" s="16" t="str">
        <f t="shared" si="10"/>
        <v>show</v>
      </c>
      <c r="C666" s="17" t="str">
        <f>"""MO State Treasurer"",""MO State Treasurers Office"",""37001020"",""1"",""0928"""</f>
        <v>"MO State Treasurer","MO State Treasurers Office","37001020","1","0928"</v>
      </c>
      <c r="D666" s="16" t="s">
        <v>12055</v>
      </c>
      <c r="E666" s="16" t="s">
        <v>12056</v>
      </c>
      <c r="F666" s="18">
        <v>681076.27</v>
      </c>
      <c r="G666" s="18">
        <v>423.83000000000004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681500.1</v>
      </c>
      <c r="N666" s="20"/>
      <c r="O666" s="19"/>
    </row>
    <row r="667" spans="1:15" s="16" customFormat="1" hidden="1" x14ac:dyDescent="0.25">
      <c r="A667" s="16" t="s">
        <v>51</v>
      </c>
      <c r="B667" s="16" t="str">
        <f t="shared" si="10"/>
        <v>hide</v>
      </c>
      <c r="C667" s="17" t="str">
        <f>"""MO State Treasurer"",""MO State Treasurers Office"",""37001020"",""1"",""0929A"""</f>
        <v>"MO State Treasurer","MO State Treasurers Office","37001020","1","0929A"</v>
      </c>
      <c r="D667" s="16" t="s">
        <v>12057</v>
      </c>
      <c r="E667" s="16" t="s">
        <v>12058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51</v>
      </c>
      <c r="B668" s="16" t="str">
        <f t="shared" si="10"/>
        <v>show</v>
      </c>
      <c r="C668" s="17" t="str">
        <f>"""MO State Treasurer"",""MO State Treasurers Office"",""37001020"",""1"",""0930"""</f>
        <v>"MO State Treasurer","MO State Treasurers Office","37001020","1","0930"</v>
      </c>
      <c r="D668" s="16" t="s">
        <v>12059</v>
      </c>
      <c r="E668" s="16" t="s">
        <v>12060</v>
      </c>
      <c r="F668" s="18">
        <v>1678996.4</v>
      </c>
      <c r="G668" s="18">
        <v>439772.99999999994</v>
      </c>
      <c r="H668" s="18">
        <v>476414.36</v>
      </c>
      <c r="I668" s="18">
        <v>0</v>
      </c>
      <c r="J668" s="18">
        <v>0</v>
      </c>
      <c r="K668" s="18">
        <v>0</v>
      </c>
      <c r="L668" s="18">
        <v>0</v>
      </c>
      <c r="M668" s="20">
        <v>1642355.04</v>
      </c>
      <c r="N668" s="20"/>
      <c r="O668" s="19"/>
    </row>
    <row r="669" spans="1:15" s="16" customFormat="1" hidden="1" x14ac:dyDescent="0.25">
      <c r="A669" s="16" t="s">
        <v>51</v>
      </c>
      <c r="B669" s="16" t="str">
        <f t="shared" si="10"/>
        <v>hide</v>
      </c>
      <c r="C669" s="17" t="str">
        <f>"""MO State Treasurer"",""MO State Treasurers Office"",""37001020"",""1"",""0934A"""</f>
        <v>"MO State Treasurer","MO State Treasurers Office","37001020","1","0934A"</v>
      </c>
      <c r="D669" s="16" t="s">
        <v>12061</v>
      </c>
      <c r="E669" s="16" t="s">
        <v>12062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51</v>
      </c>
      <c r="B670" s="16" t="str">
        <f t="shared" si="10"/>
        <v>show</v>
      </c>
      <c r="C670" s="17" t="str">
        <f>"""MO State Treasurer"",""MO State Treasurers Office"",""37001020"",""1"",""0935"""</f>
        <v>"MO State Treasurer","MO State Treasurers Office","37001020","1","0935"</v>
      </c>
      <c r="D670" s="16" t="s">
        <v>12063</v>
      </c>
      <c r="E670" s="16" t="s">
        <v>12064</v>
      </c>
      <c r="F670" s="18">
        <v>11836671.859999999</v>
      </c>
      <c r="G670" s="18">
        <v>61747.4</v>
      </c>
      <c r="H670" s="18">
        <v>296.55</v>
      </c>
      <c r="I670" s="18">
        <v>0</v>
      </c>
      <c r="J670" s="18">
        <v>162.78</v>
      </c>
      <c r="K670" s="18">
        <v>0</v>
      </c>
      <c r="L670" s="18">
        <v>737.68</v>
      </c>
      <c r="M670" s="20">
        <v>11897222.25</v>
      </c>
      <c r="N670" s="20"/>
      <c r="O670" s="19"/>
    </row>
    <row r="671" spans="1:15" s="16" customFormat="1" hidden="1" x14ac:dyDescent="0.25">
      <c r="A671" s="16" t="s">
        <v>51</v>
      </c>
      <c r="B671" s="16" t="str">
        <f t="shared" si="10"/>
        <v>hide</v>
      </c>
      <c r="C671" s="17" t="str">
        <f>"""MO State Treasurer"",""MO State Treasurers Office"",""37001020"",""1"",""0936"""</f>
        <v>"MO State Treasurer","MO State Treasurers Office","37001020","1","0936"</v>
      </c>
      <c r="D671" s="16" t="s">
        <v>12065</v>
      </c>
      <c r="E671" s="16" t="s">
        <v>12066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51</v>
      </c>
      <c r="B672" s="16" t="str">
        <f t="shared" si="10"/>
        <v>show</v>
      </c>
      <c r="C672" s="17" t="str">
        <f>"""MO State Treasurer"",""MO State Treasurers Office"",""37001020"",""1"",""0937"""</f>
        <v>"MO State Treasurer","MO State Treasurers Office","37001020","1","0937"</v>
      </c>
      <c r="D672" s="16" t="s">
        <v>12067</v>
      </c>
      <c r="E672" s="16" t="s">
        <v>12068</v>
      </c>
      <c r="F672" s="18">
        <v>71920.12999999999</v>
      </c>
      <c r="G672" s="18">
        <v>4033.2700000000004</v>
      </c>
      <c r="H672" s="18">
        <v>121.56000000000002</v>
      </c>
      <c r="I672" s="18">
        <v>0</v>
      </c>
      <c r="J672" s="18">
        <v>67.740000000000009</v>
      </c>
      <c r="K672" s="18">
        <v>0</v>
      </c>
      <c r="L672" s="18">
        <v>0</v>
      </c>
      <c r="M672" s="20">
        <v>75764.100000000006</v>
      </c>
      <c r="N672" s="20"/>
      <c r="O672" s="19"/>
    </row>
    <row r="673" spans="1:15" s="16" customFormat="1" hidden="1" x14ac:dyDescent="0.25">
      <c r="A673" s="16" t="s">
        <v>51</v>
      </c>
      <c r="B673" s="16" t="str">
        <f t="shared" si="10"/>
        <v>hide</v>
      </c>
      <c r="C673" s="17" t="str">
        <f>"""MO State Treasurer"",""MO State Treasurers Office"",""37001020"",""1"",""0938A"""</f>
        <v>"MO State Treasurer","MO State Treasurers Office","37001020","1","0938A"</v>
      </c>
      <c r="D673" s="16" t="s">
        <v>12069</v>
      </c>
      <c r="E673" s="16" t="s">
        <v>12070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51</v>
      </c>
      <c r="B674" s="16" t="str">
        <f t="shared" si="10"/>
        <v>show</v>
      </c>
      <c r="C674" s="17" t="str">
        <f>"""MO State Treasurer"",""MO State Treasurers Office"",""37001020"",""1"",""0939"""</f>
        <v>"MO State Treasurer","MO State Treasurers Office","37001020","1","0939"</v>
      </c>
      <c r="D674" s="16" t="s">
        <v>12071</v>
      </c>
      <c r="E674" s="16" t="s">
        <v>12072</v>
      </c>
      <c r="F674" s="18">
        <v>14.93</v>
      </c>
      <c r="G674" s="18">
        <v>0.52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15.45</v>
      </c>
      <c r="N674" s="20"/>
      <c r="O674" s="19"/>
    </row>
    <row r="675" spans="1:15" s="16" customFormat="1" hidden="1" x14ac:dyDescent="0.25">
      <c r="A675" s="16" t="s">
        <v>51</v>
      </c>
      <c r="B675" s="16" t="str">
        <f t="shared" si="10"/>
        <v>hide</v>
      </c>
      <c r="C675" s="17" t="str">
        <f>"""MO State Treasurer"",""MO State Treasurers Office"",""37001020"",""1"",""0940A"""</f>
        <v>"MO State Treasurer","MO State Treasurers Office","37001020","1","0940A"</v>
      </c>
      <c r="D675" s="16" t="s">
        <v>12073</v>
      </c>
      <c r="E675" s="16" t="s">
        <v>12074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hidden="1" x14ac:dyDescent="0.25">
      <c r="A676" s="16" t="s">
        <v>51</v>
      </c>
      <c r="B676" s="16" t="str">
        <f t="shared" si="10"/>
        <v>hide</v>
      </c>
      <c r="C676" s="17" t="str">
        <f>"""MO State Treasurer"",""MO State Treasurers Office"",""37001020"",""1"",""0941A"""</f>
        <v>"MO State Treasurer","MO State Treasurers Office","37001020","1","0941A"</v>
      </c>
      <c r="D676" s="16" t="s">
        <v>12075</v>
      </c>
      <c r="E676" s="16" t="s">
        <v>12076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tr">
        <f t="shared" si="10"/>
        <v>hide</v>
      </c>
      <c r="C677" s="17" t="str">
        <f>"""MO State Treasurer"",""MO State Treasurers Office"",""37001020"",""1"",""0942A"""</f>
        <v>"MO State Treasurer","MO State Treasurers Office","37001020","1","0942A"</v>
      </c>
      <c r="D677" s="16" t="s">
        <v>12077</v>
      </c>
      <c r="E677" s="16" t="s">
        <v>12078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Office"",""37001020"",""1"",""0943"""</f>
        <v>"MO State Treasurer","MO State Treasurers Office","37001020","1","0943"</v>
      </c>
      <c r="D678" s="16" t="s">
        <v>12079</v>
      </c>
      <c r="E678" s="16" t="s">
        <v>12080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Office"",""37001020"",""1"",""0944"""</f>
        <v>"MO State Treasurer","MO State Treasurers Office","37001020","1","0944"</v>
      </c>
      <c r="D679" s="16" t="s">
        <v>12081</v>
      </c>
      <c r="E679" s="16" t="s">
        <v>12082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tr">
        <f t="shared" si="10"/>
        <v>hide</v>
      </c>
      <c r="C680" s="17" t="str">
        <f>"""MO State Treasurer"",""MO State Treasurers Office"",""37001020"",""1"",""0947"""</f>
        <v>"MO State Treasurer","MO State Treasurers Office","37001020","1","0947"</v>
      </c>
      <c r="D680" s="16" t="s">
        <v>12083</v>
      </c>
      <c r="E680" s="16" t="s">
        <v>12084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51</v>
      </c>
      <c r="B681" s="16" t="str">
        <f t="shared" si="10"/>
        <v>show</v>
      </c>
      <c r="C681" s="17" t="str">
        <f>"""MO State Treasurer"",""MO State Treasurers Office"",""37001020"",""1"",""0948"""</f>
        <v>"MO State Treasurer","MO State Treasurers Office","37001020","1","0948"</v>
      </c>
      <c r="D681" s="16" t="s">
        <v>12085</v>
      </c>
      <c r="E681" s="16" t="s">
        <v>12086</v>
      </c>
      <c r="F681" s="18">
        <v>397665.82</v>
      </c>
      <c r="G681" s="18">
        <v>2954469.6300000004</v>
      </c>
      <c r="H681" s="18">
        <v>1774232.05</v>
      </c>
      <c r="I681" s="18">
        <v>0</v>
      </c>
      <c r="J681" s="18">
        <v>799212.38</v>
      </c>
      <c r="K681" s="18">
        <v>2077.5299999999997</v>
      </c>
      <c r="L681" s="18">
        <v>245815.21</v>
      </c>
      <c r="M681" s="20">
        <v>534953.34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Office"",""37001020"",""1"",""0949"""</f>
        <v>"MO State Treasurer","MO State Treasurers Office","37001020","1","0949"</v>
      </c>
      <c r="D682" s="16" t="s">
        <v>12087</v>
      </c>
      <c r="E682" s="16" t="s">
        <v>12088</v>
      </c>
      <c r="F682" s="18">
        <v>6690452.7999999998</v>
      </c>
      <c r="G682" s="18">
        <v>272406.42</v>
      </c>
      <c r="H682" s="18">
        <v>890160.2699999999</v>
      </c>
      <c r="I682" s="18">
        <v>0</v>
      </c>
      <c r="J682" s="18">
        <v>97472.61</v>
      </c>
      <c r="K682" s="18">
        <v>0</v>
      </c>
      <c r="L682" s="18">
        <v>403.86999999999995</v>
      </c>
      <c r="M682" s="20">
        <v>5974822.4699999997</v>
      </c>
      <c r="N682" s="20"/>
      <c r="O682" s="19"/>
    </row>
    <row r="683" spans="1:15" s="16" customFormat="1" x14ac:dyDescent="0.25">
      <c r="A683" s="16" t="s">
        <v>51</v>
      </c>
      <c r="B683" s="16" t="str">
        <f t="shared" si="10"/>
        <v>show</v>
      </c>
      <c r="C683" s="17" t="str">
        <f>"""MO State Treasurer"",""MO State Treasurers Office"",""37001020"",""1"",""0950"""</f>
        <v>"MO State Treasurer","MO State Treasurers Office","37001020","1","0950"</v>
      </c>
      <c r="D683" s="16" t="s">
        <v>12089</v>
      </c>
      <c r="E683" s="16" t="s">
        <v>12090</v>
      </c>
      <c r="F683" s="18">
        <v>56081.66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56081.66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Office"",""37001020"",""1"",""0951"""</f>
        <v>"MO State Treasurer","MO State Treasurers Office","37001020","1","0951"</v>
      </c>
      <c r="D684" s="16" t="s">
        <v>12091</v>
      </c>
      <c r="E684" s="16" t="s">
        <v>12092</v>
      </c>
      <c r="F684" s="18">
        <v>4221.84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4221.84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Office"",""37001020"",""1"",""0952"""</f>
        <v>"MO State Treasurer","MO State Treasurers Office","37001020","1","0952"</v>
      </c>
      <c r="D685" s="16" t="s">
        <v>12093</v>
      </c>
      <c r="E685" s="16" t="s">
        <v>12094</v>
      </c>
      <c r="F685" s="18">
        <v>8486667.5600000005</v>
      </c>
      <c r="G685" s="18">
        <v>315318.34999999998</v>
      </c>
      <c r="H685" s="18">
        <v>493034.65</v>
      </c>
      <c r="I685" s="18">
        <v>0</v>
      </c>
      <c r="J685" s="18">
        <v>2627.28</v>
      </c>
      <c r="K685" s="18">
        <v>0</v>
      </c>
      <c r="L685" s="18">
        <v>1369.5900000000001</v>
      </c>
      <c r="M685" s="20">
        <v>8304954.3899999997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Office"",""37001020"",""1"",""0953"""</f>
        <v>"MO State Treasurer","MO State Treasurers Office","37001020","1","0953"</v>
      </c>
      <c r="D686" s="16" t="s">
        <v>12095</v>
      </c>
      <c r="E686" s="16" t="s">
        <v>12096</v>
      </c>
      <c r="F686" s="18">
        <v>0.08</v>
      </c>
      <c r="G686" s="18">
        <v>0.33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0.41</v>
      </c>
      <c r="N686" s="20"/>
      <c r="O686" s="19"/>
    </row>
    <row r="687" spans="1:15" s="16" customFormat="1" x14ac:dyDescent="0.25">
      <c r="A687" s="16" t="s">
        <v>51</v>
      </c>
      <c r="B687" s="16" t="str">
        <f t="shared" si="10"/>
        <v>show</v>
      </c>
      <c r="C687" s="17" t="str">
        <f>"""MO State Treasurer"",""MO State Treasurers Office"",""37001020"",""1"",""0955"""</f>
        <v>"MO State Treasurer","MO State Treasurers Office","37001020","1","0955"</v>
      </c>
      <c r="D687" s="16" t="s">
        <v>12097</v>
      </c>
      <c r="E687" s="16" t="s">
        <v>12098</v>
      </c>
      <c r="F687" s="18">
        <v>23201982.23</v>
      </c>
      <c r="G687" s="18">
        <v>3158</v>
      </c>
      <c r="H687" s="18">
        <v>2171144.61</v>
      </c>
      <c r="I687" s="18">
        <v>0</v>
      </c>
      <c r="J687" s="18">
        <v>0</v>
      </c>
      <c r="K687" s="18">
        <v>0</v>
      </c>
      <c r="L687" s="18">
        <v>0</v>
      </c>
      <c r="M687" s="20">
        <v>21033995.620000001</v>
      </c>
      <c r="N687" s="20"/>
      <c r="O687" s="19"/>
    </row>
    <row r="688" spans="1:15" s="16" customFormat="1" hidden="1" x14ac:dyDescent="0.25">
      <c r="A688" s="16" t="s">
        <v>51</v>
      </c>
      <c r="B688" s="16" t="str">
        <f t="shared" si="10"/>
        <v>hide</v>
      </c>
      <c r="C688" s="17" t="str">
        <f>"""MO State Treasurer"",""MO State Treasurers Office"",""37001020"",""1"",""0957A"""</f>
        <v>"MO State Treasurer","MO State Treasurers Office","37001020","1","0957A"</v>
      </c>
      <c r="D688" s="16" t="s">
        <v>12099</v>
      </c>
      <c r="E688" s="16" t="s">
        <v>12100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51</v>
      </c>
      <c r="B689" s="16" t="str">
        <f t="shared" si="10"/>
        <v>show</v>
      </c>
      <c r="C689" s="17" t="str">
        <f>"""MO State Treasurer"",""MO State Treasurers Office"",""37001020"",""1"",""0958"""</f>
        <v>"MO State Treasurer","MO State Treasurers Office","37001020","1","0958"</v>
      </c>
      <c r="D689" s="16" t="s">
        <v>12101</v>
      </c>
      <c r="E689" s="16" t="s">
        <v>12102</v>
      </c>
      <c r="F689" s="18">
        <v>6778868.5399999991</v>
      </c>
      <c r="G689" s="18">
        <v>1927520.83</v>
      </c>
      <c r="H689" s="18">
        <v>1829988.4200000002</v>
      </c>
      <c r="I689" s="18">
        <v>626258</v>
      </c>
      <c r="J689" s="18">
        <v>626258</v>
      </c>
      <c r="K689" s="18">
        <v>0</v>
      </c>
      <c r="L689" s="18">
        <v>0</v>
      </c>
      <c r="M689" s="20">
        <v>6876400.9499999993</v>
      </c>
      <c r="N689" s="20"/>
      <c r="O689" s="19"/>
    </row>
    <row r="690" spans="1:15" s="16" customFormat="1" x14ac:dyDescent="0.25">
      <c r="A690" s="16" t="s">
        <v>51</v>
      </c>
      <c r="B690" s="16" t="str">
        <f t="shared" si="10"/>
        <v>show</v>
      </c>
      <c r="C690" s="17" t="str">
        <f>"""MO State Treasurer"",""MO State Treasurers Office"",""37001020"",""1"",""0959"""</f>
        <v>"MO State Treasurer","MO State Treasurers Office","37001020","1","0959"</v>
      </c>
      <c r="D690" s="16" t="s">
        <v>12103</v>
      </c>
      <c r="E690" s="16" t="s">
        <v>12104</v>
      </c>
      <c r="F690" s="18">
        <v>774.55000000000007</v>
      </c>
      <c r="G690" s="18">
        <v>0.43</v>
      </c>
      <c r="H690" s="18">
        <v>0</v>
      </c>
      <c r="I690" s="18">
        <v>25</v>
      </c>
      <c r="J690" s="18">
        <v>0</v>
      </c>
      <c r="K690" s="18">
        <v>0</v>
      </c>
      <c r="L690" s="18">
        <v>0</v>
      </c>
      <c r="M690" s="20">
        <v>799.98</v>
      </c>
      <c r="N690" s="20"/>
      <c r="O690" s="19"/>
    </row>
    <row r="691" spans="1:15" s="16" customFormat="1" hidden="1" x14ac:dyDescent="0.25">
      <c r="A691" s="16" t="s">
        <v>51</v>
      </c>
      <c r="B691" s="16" t="str">
        <f t="shared" si="10"/>
        <v>hide</v>
      </c>
      <c r="C691" s="17" t="str">
        <f>"""MO State Treasurer"",""MO State Treasurers Office"",""37001020"",""1"",""0961"""</f>
        <v>"MO State Treasurer","MO State Treasurers Office","37001020","1","0961"</v>
      </c>
      <c r="D691" s="16" t="s">
        <v>12105</v>
      </c>
      <c r="E691" s="16" t="s">
        <v>12106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51</v>
      </c>
      <c r="B692" s="16" t="str">
        <f t="shared" si="10"/>
        <v>show</v>
      </c>
      <c r="C692" s="17" t="str">
        <f>"""MO State Treasurer"",""MO State Treasurers Office"",""37001020"",""1"",""0963"""</f>
        <v>"MO State Treasurer","MO State Treasurers Office","37001020","1","0963"</v>
      </c>
      <c r="D692" s="16" t="s">
        <v>12107</v>
      </c>
      <c r="E692" s="16" t="s">
        <v>12108</v>
      </c>
      <c r="F692" s="18">
        <v>878529.13</v>
      </c>
      <c r="G692" s="18">
        <v>410.65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878939.77999999991</v>
      </c>
      <c r="N692" s="20"/>
      <c r="O692" s="19"/>
    </row>
    <row r="693" spans="1:15" s="16" customFormat="1" hidden="1" x14ac:dyDescent="0.25">
      <c r="A693" s="16" t="s">
        <v>51</v>
      </c>
      <c r="B693" s="16" t="str">
        <f t="shared" si="10"/>
        <v>hide</v>
      </c>
      <c r="C693" s="17" t="str">
        <f>"""MO State Treasurer"",""MO State Treasurers Office"",""37001020"",""1"",""0966A"""</f>
        <v>"MO State Treasurer","MO State Treasurers Office","37001020","1","0966A"</v>
      </c>
      <c r="D693" s="16" t="s">
        <v>12109</v>
      </c>
      <c r="E693" s="16" t="s">
        <v>12110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51</v>
      </c>
      <c r="B694" s="16" t="str">
        <f t="shared" si="10"/>
        <v>hide</v>
      </c>
      <c r="C694" s="17" t="str">
        <f>"""MO State Treasurer"",""MO State Treasurers Office"",""37001020"",""1"",""0969"""</f>
        <v>"MO State Treasurer","MO State Treasurers Office","37001020","1","0969"</v>
      </c>
      <c r="D694" s="16" t="s">
        <v>12111</v>
      </c>
      <c r="E694" s="16" t="s">
        <v>12112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51</v>
      </c>
      <c r="B695" s="16" t="str">
        <f t="shared" si="10"/>
        <v>show</v>
      </c>
      <c r="C695" s="17" t="str">
        <f>"""MO State Treasurer"",""MO State Treasurers Office"",""37001020"",""1"",""0970"""</f>
        <v>"MO State Treasurer","MO State Treasurers Office","37001020","1","0970"</v>
      </c>
      <c r="D695" s="16" t="s">
        <v>12113</v>
      </c>
      <c r="E695" s="16" t="s">
        <v>12114</v>
      </c>
      <c r="F695" s="18">
        <v>5141120.1899999995</v>
      </c>
      <c r="G695" s="18">
        <v>766267.02</v>
      </c>
      <c r="H695" s="18">
        <v>493197.66000000003</v>
      </c>
      <c r="I695" s="18">
        <v>0</v>
      </c>
      <c r="J695" s="18">
        <v>263444.5</v>
      </c>
      <c r="K695" s="18">
        <v>0</v>
      </c>
      <c r="L695" s="18">
        <v>33907.619999999995</v>
      </c>
      <c r="M695" s="20">
        <v>5116837.4300000006</v>
      </c>
      <c r="N695" s="20"/>
      <c r="O695" s="19"/>
    </row>
    <row r="696" spans="1:15" s="16" customFormat="1" hidden="1" x14ac:dyDescent="0.25">
      <c r="A696" s="16" t="s">
        <v>51</v>
      </c>
      <c r="B696" s="16" t="str">
        <f t="shared" si="10"/>
        <v>hide</v>
      </c>
      <c r="C696" s="17" t="str">
        <f>"""MO State Treasurer"",""MO State Treasurers Office"",""37001020"",""1"",""0971"""</f>
        <v>"MO State Treasurer","MO State Treasurers Office","37001020","1","0971"</v>
      </c>
      <c r="D696" s="16" t="s">
        <v>12115</v>
      </c>
      <c r="E696" s="16" t="s">
        <v>12116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51</v>
      </c>
      <c r="B697" s="16" t="str">
        <f t="shared" si="10"/>
        <v>show</v>
      </c>
      <c r="C697" s="17" t="str">
        <f>"""MO State Treasurer"",""MO State Treasurers Office"",""37001020"",""1"",""0973"""</f>
        <v>"MO State Treasurer","MO State Treasurers Office","37001020","1","0973"</v>
      </c>
      <c r="D697" s="16" t="s">
        <v>12117</v>
      </c>
      <c r="E697" s="16" t="s">
        <v>12118</v>
      </c>
      <c r="F697" s="18">
        <v>32485.030000000002</v>
      </c>
      <c r="G697" s="18">
        <v>964.77</v>
      </c>
      <c r="H697" s="18">
        <v>2446.33</v>
      </c>
      <c r="I697" s="18">
        <v>0</v>
      </c>
      <c r="J697" s="18">
        <v>1181.98</v>
      </c>
      <c r="K697" s="18">
        <v>0</v>
      </c>
      <c r="L697" s="18">
        <v>0</v>
      </c>
      <c r="M697" s="20">
        <v>29821.489999999998</v>
      </c>
      <c r="N697" s="20"/>
      <c r="O697" s="19"/>
    </row>
    <row r="698" spans="1:15" s="16" customFormat="1" hidden="1" x14ac:dyDescent="0.25">
      <c r="A698" s="16" t="s">
        <v>51</v>
      </c>
      <c r="B698" s="16" t="str">
        <f t="shared" si="10"/>
        <v>hide</v>
      </c>
      <c r="C698" s="17" t="str">
        <f>"""MO State Treasurer"",""MO State Treasurers Office"",""37001020"",""1"",""0974"""</f>
        <v>"MO State Treasurer","MO State Treasurers Office","37001020","1","0974"</v>
      </c>
      <c r="D698" s="16" t="s">
        <v>12119</v>
      </c>
      <c r="E698" s="16" t="s">
        <v>12120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Office"",""37001020"",""1"",""0975A"""</f>
        <v>"MO State Treasurer","MO State Treasurers Office","37001020","1","0975A"</v>
      </c>
      <c r="D699" s="16" t="s">
        <v>12121</v>
      </c>
      <c r="E699" s="16" t="s">
        <v>12122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Office"",""37001020"",""1"",""0976A"""</f>
        <v>"MO State Treasurer","MO State Treasurers Office","37001020","1","0976A"</v>
      </c>
      <c r="D700" s="16" t="s">
        <v>12123</v>
      </c>
      <c r="E700" s="16" t="s">
        <v>12124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tr">
        <f t="shared" si="10"/>
        <v>hide</v>
      </c>
      <c r="C701" s="17" t="str">
        <f>"""MO State Treasurer"",""MO State Treasurers Office"",""37001020"",""1"",""0978"""</f>
        <v>"MO State Treasurer","MO State Treasurers Office","37001020","1","0978"</v>
      </c>
      <c r="D701" s="16" t="s">
        <v>12125</v>
      </c>
      <c r="E701" s="16" t="s">
        <v>12126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x14ac:dyDescent="0.25">
      <c r="A702" s="16" t="s">
        <v>51</v>
      </c>
      <c r="B702" s="16" t="str">
        <f t="shared" si="10"/>
        <v>show</v>
      </c>
      <c r="C702" s="17" t="str">
        <f>"""MO State Treasurer"",""MO State Treasurers Office"",""37001020"",""1"",""0979"""</f>
        <v>"MO State Treasurer","MO State Treasurers Office","37001020","1","0979"</v>
      </c>
      <c r="D702" s="16" t="s">
        <v>12127</v>
      </c>
      <c r="E702" s="16" t="s">
        <v>12128</v>
      </c>
      <c r="F702" s="18">
        <v>28297.21</v>
      </c>
      <c r="G702" s="18">
        <v>12.47</v>
      </c>
      <c r="H702" s="18">
        <v>0</v>
      </c>
      <c r="I702" s="18">
        <v>214.00000000000003</v>
      </c>
      <c r="J702" s="18">
        <v>0</v>
      </c>
      <c r="K702" s="18">
        <v>0</v>
      </c>
      <c r="L702" s="18">
        <v>0</v>
      </c>
      <c r="M702" s="20">
        <v>28523.679999999997</v>
      </c>
      <c r="N702" s="20"/>
      <c r="O702" s="19"/>
    </row>
    <row r="703" spans="1:15" s="16" customFormat="1" x14ac:dyDescent="0.25">
      <c r="A703" s="16" t="s">
        <v>51</v>
      </c>
      <c r="B703" s="16" t="str">
        <f t="shared" si="10"/>
        <v>show</v>
      </c>
      <c r="C703" s="17" t="str">
        <f>"""MO State Treasurer"",""MO State Treasurers Office"",""37001020"",""1"",""0980"""</f>
        <v>"MO State Treasurer","MO State Treasurers Office","37001020","1","0980"</v>
      </c>
      <c r="D703" s="16" t="s">
        <v>12129</v>
      </c>
      <c r="E703" s="16" t="s">
        <v>12130</v>
      </c>
      <c r="F703" s="18">
        <v>15500526.83</v>
      </c>
      <c r="G703" s="18">
        <v>148759.06</v>
      </c>
      <c r="H703" s="18">
        <v>8193835.5</v>
      </c>
      <c r="I703" s="18">
        <v>0</v>
      </c>
      <c r="J703" s="18">
        <v>426128.82</v>
      </c>
      <c r="K703" s="18">
        <v>9943723.6300000008</v>
      </c>
      <c r="L703" s="18">
        <v>294731.21000000002</v>
      </c>
      <c r="M703" s="20">
        <v>16678313.99</v>
      </c>
      <c r="N703" s="20"/>
      <c r="O703" s="19"/>
    </row>
    <row r="704" spans="1:15" s="16" customFormat="1" hidden="1" x14ac:dyDescent="0.25">
      <c r="A704" s="16" t="s">
        <v>51</v>
      </c>
      <c r="B704" s="16" t="str">
        <f t="shared" si="10"/>
        <v>hide</v>
      </c>
      <c r="C704" s="17" t="str">
        <f>"""MO State Treasurer"",""MO State Treasurers Office"",""37001020"",""1"",""0982"""</f>
        <v>"MO State Treasurer","MO State Treasurers Office","37001020","1","0982"</v>
      </c>
      <c r="D704" s="16" t="s">
        <v>12131</v>
      </c>
      <c r="E704" s="16" t="s">
        <v>12132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51</v>
      </c>
      <c r="B705" s="16" t="str">
        <f t="shared" si="10"/>
        <v>show</v>
      </c>
      <c r="C705" s="17" t="str">
        <f>"""MO State Treasurer"",""MO State Treasurers Office"",""37001020"",""1"",""0983"""</f>
        <v>"MO State Treasurer","MO State Treasurers Office","37001020","1","0983"</v>
      </c>
      <c r="D705" s="16" t="s">
        <v>12133</v>
      </c>
      <c r="E705" s="16" t="s">
        <v>12134</v>
      </c>
      <c r="F705" s="18">
        <v>20500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20500</v>
      </c>
      <c r="N705" s="20"/>
      <c r="O705" s="19"/>
    </row>
    <row r="706" spans="1:15" s="16" customFormat="1" x14ac:dyDescent="0.25">
      <c r="A706" s="16" t="s">
        <v>51</v>
      </c>
      <c r="B706" s="16" t="str">
        <f t="shared" si="10"/>
        <v>show</v>
      </c>
      <c r="C706" s="17" t="str">
        <f>"""MO State Treasurer"",""MO State Treasurers Office"",""37001020"",""1"",""0984"""</f>
        <v>"MO State Treasurer","MO State Treasurers Office","37001020","1","0984"</v>
      </c>
      <c r="D706" s="16" t="s">
        <v>12135</v>
      </c>
      <c r="E706" s="16" t="s">
        <v>12136</v>
      </c>
      <c r="F706" s="18">
        <v>18164.310000000001</v>
      </c>
      <c r="G706" s="18">
        <v>6.25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18170.560000000001</v>
      </c>
      <c r="N706" s="20"/>
      <c r="O706" s="19"/>
    </row>
    <row r="707" spans="1:15" s="16" customFormat="1" x14ac:dyDescent="0.25">
      <c r="A707" s="16" t="s">
        <v>51</v>
      </c>
      <c r="B707" s="16" t="str">
        <f t="shared" si="10"/>
        <v>show</v>
      </c>
      <c r="C707" s="17" t="str">
        <f>"""MO State Treasurer"",""MO State Treasurers Office"",""37001020"",""1"",""0985"""</f>
        <v>"MO State Treasurer","MO State Treasurers Office","37001020","1","0985"</v>
      </c>
      <c r="D707" s="16" t="s">
        <v>12137</v>
      </c>
      <c r="E707" s="16" t="s">
        <v>12138</v>
      </c>
      <c r="F707" s="18">
        <v>32858.230000000003</v>
      </c>
      <c r="G707" s="18">
        <v>15.94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32874.17</v>
      </c>
      <c r="N707" s="20"/>
      <c r="O707" s="19"/>
    </row>
    <row r="708" spans="1:15" s="16" customFormat="1" hidden="1" x14ac:dyDescent="0.25">
      <c r="A708" s="16" t="s">
        <v>51</v>
      </c>
      <c r="B708" s="16" t="str">
        <f t="shared" si="10"/>
        <v>hide</v>
      </c>
      <c r="C708" s="17" t="str">
        <f>"""MO State Treasurer"",""MO State Treasurers Office"",""37001020"",""1"",""0986"""</f>
        <v>"MO State Treasurer","MO State Treasurers Office","37001020","1","0986"</v>
      </c>
      <c r="D708" s="16" t="s">
        <v>12139</v>
      </c>
      <c r="E708" s="16" t="s">
        <v>12140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51</v>
      </c>
      <c r="B709" s="16" t="str">
        <f t="shared" si="10"/>
        <v>show</v>
      </c>
      <c r="C709" s="17" t="str">
        <f>"""MO State Treasurer"",""MO State Treasurers Office"",""37001020"",""1"",""0987"""</f>
        <v>"MO State Treasurer","MO State Treasurers Office","37001020","1","0987"</v>
      </c>
      <c r="D709" s="16" t="s">
        <v>12141</v>
      </c>
      <c r="E709" s="16" t="s">
        <v>12142</v>
      </c>
      <c r="F709" s="18">
        <v>0.78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0.78</v>
      </c>
      <c r="N709" s="20"/>
      <c r="O709" s="19"/>
    </row>
    <row r="710" spans="1:15" s="16" customFormat="1" x14ac:dyDescent="0.25">
      <c r="A710" s="16" t="s">
        <v>51</v>
      </c>
      <c r="B710" s="16" t="str">
        <f t="shared" si="10"/>
        <v>show</v>
      </c>
      <c r="C710" s="17" t="str">
        <f>"""MO State Treasurer"",""MO State Treasurers Office"",""37001020"",""1"",""0988"""</f>
        <v>"MO State Treasurer","MO State Treasurers Office","37001020","1","0988"</v>
      </c>
      <c r="D710" s="16" t="s">
        <v>12143</v>
      </c>
      <c r="E710" s="16" t="s">
        <v>12144</v>
      </c>
      <c r="F710" s="18">
        <v>34437.620000000003</v>
      </c>
      <c r="G710" s="18">
        <v>16.23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34453.85</v>
      </c>
      <c r="N710" s="20"/>
      <c r="O710" s="19"/>
    </row>
    <row r="711" spans="1:15" s="16" customFormat="1" hidden="1" x14ac:dyDescent="0.25">
      <c r="A711" s="16" t="s">
        <v>51</v>
      </c>
      <c r="B711" s="16" t="str">
        <f t="shared" si="10"/>
        <v>hide</v>
      </c>
      <c r="C711" s="17" t="str">
        <f>"""MO State Treasurer"",""MO State Treasurers Office"",""37001020"",""1"",""0989"""</f>
        <v>"MO State Treasurer","MO State Treasurers Office","37001020","1","0989"</v>
      </c>
      <c r="D711" s="16" t="s">
        <v>12145</v>
      </c>
      <c r="E711" s="16" t="s">
        <v>12146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51</v>
      </c>
      <c r="B712" s="16" t="str">
        <f t="shared" si="10"/>
        <v>show</v>
      </c>
      <c r="C712" s="17" t="str">
        <f>"""MO State Treasurer"",""MO State Treasurers Office"",""37001020"",""1"",""0990"""</f>
        <v>"MO State Treasurer","MO State Treasurers Office","37001020","1","0990"</v>
      </c>
      <c r="D712" s="16" t="s">
        <v>12147</v>
      </c>
      <c r="E712" s="16" t="s">
        <v>12148</v>
      </c>
      <c r="F712" s="18">
        <v>1106734.8699999999</v>
      </c>
      <c r="G712" s="18">
        <v>25016</v>
      </c>
      <c r="H712" s="18">
        <v>4954.05</v>
      </c>
      <c r="I712" s="18">
        <v>0</v>
      </c>
      <c r="J712" s="18">
        <v>0</v>
      </c>
      <c r="K712" s="18">
        <v>0</v>
      </c>
      <c r="L712" s="18">
        <v>0</v>
      </c>
      <c r="M712" s="20">
        <v>1126796.82</v>
      </c>
      <c r="N712" s="20"/>
      <c r="O712" s="19"/>
    </row>
    <row r="713" spans="1:15" s="16" customFormat="1" x14ac:dyDescent="0.25">
      <c r="A713" s="16" t="s">
        <v>51</v>
      </c>
      <c r="B713" s="16" t="str">
        <f t="shared" si="10"/>
        <v>show</v>
      </c>
      <c r="C713" s="17" t="str">
        <f>"""MO State Treasurer"",""MO State Treasurers Office"",""37001020"",""1"",""0993"""</f>
        <v>"MO State Treasurer","MO State Treasurers Office","37001020","1","0993"</v>
      </c>
      <c r="D713" s="16" t="s">
        <v>12149</v>
      </c>
      <c r="E713" s="16" t="s">
        <v>12150</v>
      </c>
      <c r="F713" s="18">
        <v>152139.97</v>
      </c>
      <c r="G713" s="18">
        <v>20417.650000000001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172557.62</v>
      </c>
      <c r="N713" s="20"/>
      <c r="O713" s="19"/>
    </row>
    <row r="714" spans="1:15" s="16" customFormat="1" hidden="1" x14ac:dyDescent="0.25">
      <c r="A714" s="16" t="s">
        <v>51</v>
      </c>
      <c r="B714" s="16" t="str">
        <f t="shared" si="10"/>
        <v>hide</v>
      </c>
      <c r="C714" s="17" t="str">
        <f>"""MO State Treasurer"",""MO State Treasurers Office"",""37001020"",""1"",""0995"""</f>
        <v>"MO State Treasurer","MO State Treasurers Office","37001020","1","0995"</v>
      </c>
      <c r="D714" s="16" t="s">
        <v>12151</v>
      </c>
      <c r="E714" s="16" t="s">
        <v>12152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x14ac:dyDescent="0.25">
      <c r="A715" s="16" t="s">
        <v>51</v>
      </c>
      <c r="B715" s="16" t="str">
        <f t="shared" si="10"/>
        <v>show</v>
      </c>
      <c r="C715" s="17" t="str">
        <f>"""MO State Treasurer"",""MO State Treasurers Office"",""37001020"",""1"",""0997"""</f>
        <v>"MO State Treasurer","MO State Treasurers Office","37001020","1","0997"</v>
      </c>
      <c r="D715" s="16" t="s">
        <v>12153</v>
      </c>
      <c r="E715" s="16" t="s">
        <v>12154</v>
      </c>
      <c r="F715" s="18">
        <v>61754.86</v>
      </c>
      <c r="G715" s="18">
        <v>29.470000000000002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61784.33</v>
      </c>
      <c r="N715" s="20"/>
      <c r="O715" s="19"/>
    </row>
    <row r="716" spans="1:15" s="16" customFormat="1" hidden="1" x14ac:dyDescent="0.25">
      <c r="A716" s="16" t="s">
        <v>51</v>
      </c>
      <c r="B716" s="16" t="str">
        <f t="shared" si="10"/>
        <v>hide</v>
      </c>
      <c r="C716" s="17" t="str">
        <f>"""MO State Treasurer"",""MO State Treasurers Office"",""37001020"",""1"",""2000"""</f>
        <v>"MO State Treasurer","MO State Treasurers Office","37001020","1","2000"</v>
      </c>
      <c r="D716" s="16" t="s">
        <v>30</v>
      </c>
      <c r="E716" s="16" t="s">
        <v>12155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79" si="11">IF(F717+G717+H717+I717+J717+K717+L717+N717=0,"hide","show")</f>
        <v>hide</v>
      </c>
      <c r="C717" s="17" t="str">
        <f>"""MO State Treasurer"",""MO State Treasurers Office"",""37001020"",""1"",""2018"""</f>
        <v>"MO State Treasurer","MO State Treasurers Office","37001020","1","2018"</v>
      </c>
      <c r="D717" s="16" t="s">
        <v>12156</v>
      </c>
      <c r="E717" s="16" t="s">
        <v>12157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Office"",""37001020"",""1"",""2082"""</f>
        <v>"MO State Treasurer","MO State Treasurers Office","37001020","1","2082"</v>
      </c>
      <c r="D718" s="16" t="s">
        <v>12158</v>
      </c>
      <c r="E718" s="16" t="s">
        <v>12159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Office"",""37001020"",""1"",""2089A"""</f>
        <v>"MO State Treasurer","MO State Treasurers Office","37001020","1","2089A"</v>
      </c>
      <c r="D719" s="16" t="s">
        <v>12160</v>
      </c>
      <c r="E719" s="16" t="s">
        <v>12161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Office"",""37001020"",""1"",""2092A"""</f>
        <v>"MO State Treasurer","MO State Treasurers Office","37001020","1","2092A"</v>
      </c>
      <c r="D720" s="16" t="s">
        <v>12162</v>
      </c>
      <c r="E720" s="16" t="s">
        <v>12163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Office"",""37001020"",""1"",""2200"""</f>
        <v>"MO State Treasurer","MO State Treasurers Office","37001020","1","2200"</v>
      </c>
      <c r="D721" s="16" t="s">
        <v>12164</v>
      </c>
      <c r="E721" s="16" t="s">
        <v>12165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Office"",""37001020"",""1"",""2204"""</f>
        <v>"MO State Treasurer","MO State Treasurers Office","37001020","1","2204"</v>
      </c>
      <c r="D722" s="16" t="s">
        <v>12166</v>
      </c>
      <c r="E722" s="16" t="s">
        <v>12167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Office"",""37001020"",""1"",""2208"""</f>
        <v>"MO State Treasurer","MO State Treasurers Office","37001020","1","2208"</v>
      </c>
      <c r="D723" s="16" t="s">
        <v>12168</v>
      </c>
      <c r="E723" s="16" t="s">
        <v>12169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Office"",""37001020"",""1"",""2212"""</f>
        <v>"MO State Treasurer","MO State Treasurers Office","37001020","1","2212"</v>
      </c>
      <c r="D724" s="16" t="s">
        <v>12170</v>
      </c>
      <c r="E724" s="16" t="s">
        <v>12171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Office"",""37001020"",""1"",""2216"""</f>
        <v>"MO State Treasurer","MO State Treasurers Office","37001020","1","2216"</v>
      </c>
      <c r="D725" s="16" t="s">
        <v>12172</v>
      </c>
      <c r="E725" s="16" t="s">
        <v>12173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tr">
        <f t="shared" si="11"/>
        <v>hide</v>
      </c>
      <c r="C726" s="17" t="str">
        <f>"""MO State Treasurer"",""MO State Treasurers Office"",""37001020"",""1"",""2220"""</f>
        <v>"MO State Treasurer","MO State Treasurers Office","37001020","1","2220"</v>
      </c>
      <c r="D726" s="16" t="s">
        <v>12174</v>
      </c>
      <c r="E726" s="16" t="s">
        <v>12175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Office"",""37001020"",""1"",""2224"""</f>
        <v>"MO State Treasurer","MO State Treasurers Office","37001020","1","2224"</v>
      </c>
      <c r="D727" s="16" t="s">
        <v>12176</v>
      </c>
      <c r="E727" s="16" t="s">
        <v>12177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Office"",""37001020"",""1"",""2228"""</f>
        <v>"MO State Treasurer","MO State Treasurers Office","37001020","1","2228"</v>
      </c>
      <c r="D728" s="16" t="s">
        <v>12178</v>
      </c>
      <c r="E728" s="16" t="s">
        <v>12179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Office"",""37001020"",""1"",""2232"""</f>
        <v>"MO State Treasurer","MO State Treasurers Office","37001020","1","2232"</v>
      </c>
      <c r="D729" s="16" t="s">
        <v>12180</v>
      </c>
      <c r="E729" s="16" t="s">
        <v>12181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Office"",""37001020"",""1"",""2236"""</f>
        <v>"MO State Treasurer","MO State Treasurers Office","37001020","1","2236"</v>
      </c>
      <c r="D730" s="16" t="s">
        <v>12182</v>
      </c>
      <c r="E730" s="16" t="s">
        <v>12183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Office"",""37001020"",""1"",""2240"""</f>
        <v>"MO State Treasurer","MO State Treasurers Office","37001020","1","2240"</v>
      </c>
      <c r="D731" s="16" t="s">
        <v>12184</v>
      </c>
      <c r="E731" s="16" t="s">
        <v>12185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Office"",""37001020"",""1"",""2244"""</f>
        <v>"MO State Treasurer","MO State Treasurers Office","37001020","1","2244"</v>
      </c>
      <c r="D732" s="16" t="s">
        <v>12186</v>
      </c>
      <c r="E732" s="16" t="s">
        <v>12187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Office"",""37001020"",""1"",""2248"""</f>
        <v>"MO State Treasurer","MO State Treasurers Office","37001020","1","2248"</v>
      </c>
      <c r="D733" s="16" t="s">
        <v>12188</v>
      </c>
      <c r="E733" s="16" t="s">
        <v>12189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tr">
        <f t="shared" si="11"/>
        <v>hide</v>
      </c>
      <c r="C734" s="17" t="str">
        <f>"""MO State Treasurer"",""MO State Treasurers Office"",""37001020"",""1"",""2252"""</f>
        <v>"MO State Treasurer","MO State Treasurers Office","37001020","1","2252"</v>
      </c>
      <c r="D734" s="16" t="s">
        <v>12190</v>
      </c>
      <c r="E734" s="16" t="s">
        <v>12191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tr">
        <f t="shared" si="11"/>
        <v>hide</v>
      </c>
      <c r="C735" s="17" t="str">
        <f>"""MO State Treasurer"",""MO State Treasurers Office"",""37001020"",""1"",""2256"""</f>
        <v>"MO State Treasurer","MO State Treasurers Office","37001020","1","2256"</v>
      </c>
      <c r="D735" s="16" t="s">
        <v>12192</v>
      </c>
      <c r="E735" s="16" t="s">
        <v>12193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tr">
        <f t="shared" si="11"/>
        <v>hide</v>
      </c>
      <c r="C736" s="17" t="str">
        <f>"""MO State Treasurer"",""MO State Treasurers Office"",""37001020"",""1"",""2260"""</f>
        <v>"MO State Treasurer","MO State Treasurers Office","37001020","1","2260"</v>
      </c>
      <c r="D736" s="16" t="s">
        <v>12194</v>
      </c>
      <c r="E736" s="16" t="s">
        <v>12195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tr">
        <f t="shared" si="11"/>
        <v>hide</v>
      </c>
      <c r="C737" s="17" t="str">
        <f>"""MO State Treasurer"",""MO State Treasurers Office"",""37001020"",""1"",""2264"""</f>
        <v>"MO State Treasurer","MO State Treasurers Office","37001020","1","2264"</v>
      </c>
      <c r="D737" s="16" t="s">
        <v>12196</v>
      </c>
      <c r="E737" s="16" t="s">
        <v>12197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Office"",""37001020"",""1"",""2268"""</f>
        <v>"MO State Treasurer","MO State Treasurers Office","37001020","1","2268"</v>
      </c>
      <c r="D738" s="16" t="s">
        <v>12198</v>
      </c>
      <c r="E738" s="16" t="s">
        <v>12199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tr">
        <f t="shared" si="11"/>
        <v>hide</v>
      </c>
      <c r="C739" s="17" t="str">
        <f>"""MO State Treasurer"",""MO State Treasurers Office"",""37001020"",""1"",""2272"""</f>
        <v>"MO State Treasurer","MO State Treasurers Office","37001020","1","2272"</v>
      </c>
      <c r="D739" s="16" t="s">
        <v>12200</v>
      </c>
      <c r="E739" s="16" t="s">
        <v>12201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tr">
        <f t="shared" si="11"/>
        <v>hide</v>
      </c>
      <c r="C740" s="17" t="str">
        <f>"""MO State Treasurer"",""MO State Treasurers Office"",""37001020"",""1"",""2276"""</f>
        <v>"MO State Treasurer","MO State Treasurers Office","37001020","1","2276"</v>
      </c>
      <c r="D740" s="16" t="s">
        <v>12202</v>
      </c>
      <c r="E740" s="16" t="s">
        <v>12203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tr">
        <f t="shared" si="11"/>
        <v>hide</v>
      </c>
      <c r="C741" s="17" t="str">
        <f>"""MO State Treasurer"",""MO State Treasurers Office"",""37001020"",""1"",""2280"""</f>
        <v>"MO State Treasurer","MO State Treasurers Office","37001020","1","2280"</v>
      </c>
      <c r="D741" s="16" t="s">
        <v>12204</v>
      </c>
      <c r="E741" s="16" t="s">
        <v>12205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tr">
        <f t="shared" si="11"/>
        <v>hide</v>
      </c>
      <c r="C742" s="17" t="str">
        <f>"""MO State Treasurer"",""MO State Treasurers Office"",""37001020"",""1"",""2284"""</f>
        <v>"MO State Treasurer","MO State Treasurers Office","37001020","1","2284"</v>
      </c>
      <c r="D742" s="16" t="s">
        <v>12206</v>
      </c>
      <c r="E742" s="16" t="s">
        <v>12207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tr">
        <f t="shared" si="11"/>
        <v>hide</v>
      </c>
      <c r="C743" s="17" t="str">
        <f>"""MO State Treasurer"",""MO State Treasurers Office"",""37001020"",""1"",""2285"""</f>
        <v>"MO State Treasurer","MO State Treasurers Office","37001020","1","2285"</v>
      </c>
      <c r="D743" s="16" t="s">
        <v>12208</v>
      </c>
      <c r="E743" s="16" t="s">
        <v>12209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tr">
        <f t="shared" si="11"/>
        <v>hide</v>
      </c>
      <c r="C744" s="17" t="str">
        <f>"""MO State Treasurer"",""MO State Treasurers Office"",""37001020"",""1"",""2286"""</f>
        <v>"MO State Treasurer","MO State Treasurers Office","37001020","1","2286"</v>
      </c>
      <c r="D744" s="16" t="s">
        <v>12210</v>
      </c>
      <c r="E744" s="16" t="s">
        <v>12211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tr">
        <f t="shared" si="11"/>
        <v>hide</v>
      </c>
      <c r="C745" s="17" t="str">
        <f>"""MO State Treasurer"",""MO State Treasurers Office"",""37001020"",""1"",""2287"""</f>
        <v>"MO State Treasurer","MO State Treasurers Office","37001020","1","2287"</v>
      </c>
      <c r="D745" s="16" t="s">
        <v>12212</v>
      </c>
      <c r="E745" s="16" t="s">
        <v>12213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tr">
        <f t="shared" si="11"/>
        <v>hide</v>
      </c>
      <c r="C746" s="17" t="str">
        <f>"""MO State Treasurer"",""MO State Treasurers Office"",""37001020"",""1"",""2288"""</f>
        <v>"MO State Treasurer","MO State Treasurers Office","37001020","1","2288"</v>
      </c>
      <c r="D746" s="16" t="s">
        <v>12214</v>
      </c>
      <c r="E746" s="16" t="s">
        <v>12215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x14ac:dyDescent="0.25">
      <c r="A747" s="16" t="s">
        <v>51</v>
      </c>
      <c r="B747" s="16" t="str">
        <f t="shared" si="11"/>
        <v>show</v>
      </c>
      <c r="C747" s="17" t="str">
        <f>"""MO State Treasurer"",""MO State Treasurers Office"",""37001020"",""1"",""2292"""</f>
        <v>"MO State Treasurer","MO State Treasurers Office","37001020","1","2292"</v>
      </c>
      <c r="D747" s="16" t="s">
        <v>12216</v>
      </c>
      <c r="E747" s="16" t="s">
        <v>12217</v>
      </c>
      <c r="F747" s="18">
        <v>19845.079999999998</v>
      </c>
      <c r="G747" s="18">
        <v>404648</v>
      </c>
      <c r="H747" s="18">
        <v>424481.41000000003</v>
      </c>
      <c r="I747" s="18">
        <v>0</v>
      </c>
      <c r="J747" s="18">
        <v>0</v>
      </c>
      <c r="K747" s="18">
        <v>0</v>
      </c>
      <c r="L747" s="18">
        <v>0</v>
      </c>
      <c r="M747" s="20">
        <v>11.67</v>
      </c>
      <c r="N747" s="20"/>
      <c r="O747" s="19"/>
    </row>
    <row r="748" spans="1:15" s="16" customFormat="1" hidden="1" x14ac:dyDescent="0.25">
      <c r="A748" s="16" t="s">
        <v>51</v>
      </c>
      <c r="B748" s="16" t="str">
        <f t="shared" si="11"/>
        <v>hide</v>
      </c>
      <c r="C748" s="17" t="str">
        <f>"""MO State Treasurer"",""MO State Treasurers Office"",""37001020"",""1"",""2296"""</f>
        <v>"MO State Treasurer","MO State Treasurers Office","37001020","1","2296"</v>
      </c>
      <c r="D748" s="16" t="s">
        <v>12218</v>
      </c>
      <c r="E748" s="16" t="s">
        <v>12219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x14ac:dyDescent="0.25">
      <c r="A749" s="16" t="s">
        <v>51</v>
      </c>
      <c r="B749" s="16" t="str">
        <f t="shared" si="11"/>
        <v>show</v>
      </c>
      <c r="C749" s="17" t="str">
        <f>"""MO State Treasurer"",""MO State Treasurers Office"",""37001020"",""1"",""2300"""</f>
        <v>"MO State Treasurer","MO State Treasurers Office","37001020","1","2300"</v>
      </c>
      <c r="D749" s="16" t="s">
        <v>12220</v>
      </c>
      <c r="E749" s="16" t="s">
        <v>12221</v>
      </c>
      <c r="F749" s="18">
        <v>25708.5</v>
      </c>
      <c r="G749" s="18">
        <v>4367253.9899999993</v>
      </c>
      <c r="H749" s="18">
        <v>4299096.87</v>
      </c>
      <c r="I749" s="18">
        <v>0</v>
      </c>
      <c r="J749" s="18">
        <v>0</v>
      </c>
      <c r="K749" s="18">
        <v>0</v>
      </c>
      <c r="L749" s="18">
        <v>68157.119999999995</v>
      </c>
      <c r="M749" s="20">
        <v>25708.5</v>
      </c>
      <c r="N749" s="20"/>
      <c r="O749" s="19"/>
    </row>
    <row r="750" spans="1:15" s="16" customFormat="1" x14ac:dyDescent="0.25">
      <c r="A750" s="16" t="s">
        <v>51</v>
      </c>
      <c r="B750" s="16" t="str">
        <f t="shared" si="11"/>
        <v>show</v>
      </c>
      <c r="C750" s="17" t="str">
        <f>"""MO State Treasurer"",""MO State Treasurers Office"",""37001020"",""1"",""2305"""</f>
        <v>"MO State Treasurer","MO State Treasurers Office","37001020","1","2305"</v>
      </c>
      <c r="D750" s="16" t="s">
        <v>12222</v>
      </c>
      <c r="E750" s="16" t="s">
        <v>12223</v>
      </c>
      <c r="F750" s="18">
        <v>0</v>
      </c>
      <c r="G750" s="18">
        <v>6021898.0099999998</v>
      </c>
      <c r="H750" s="18">
        <v>6019045.4000000004</v>
      </c>
      <c r="I750" s="18">
        <v>0</v>
      </c>
      <c r="J750" s="18">
        <v>0</v>
      </c>
      <c r="K750" s="18">
        <v>0</v>
      </c>
      <c r="L750" s="18">
        <v>0</v>
      </c>
      <c r="M750" s="20">
        <v>2852.61</v>
      </c>
      <c r="N750" s="20"/>
      <c r="O750" s="19"/>
    </row>
    <row r="751" spans="1:15" s="16" customFormat="1" hidden="1" x14ac:dyDescent="0.25">
      <c r="A751" s="16" t="s">
        <v>51</v>
      </c>
      <c r="B751" s="16" t="str">
        <f t="shared" si="11"/>
        <v>hide</v>
      </c>
      <c r="C751" s="17" t="str">
        <f>"""MO State Treasurer"",""MO State Treasurers Office"",""37001020"",""1"",""2310"""</f>
        <v>"MO State Treasurer","MO State Treasurers Office","37001020","1","2310"</v>
      </c>
      <c r="D751" s="16" t="s">
        <v>12224</v>
      </c>
      <c r="E751" s="16" t="s">
        <v>12225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51</v>
      </c>
      <c r="B752" s="16" t="str">
        <f t="shared" si="11"/>
        <v>show</v>
      </c>
      <c r="C752" s="17" t="str">
        <f>"""MO State Treasurer"",""MO State Treasurers Office"",""37001020"",""1"",""2315"""</f>
        <v>"MO State Treasurer","MO State Treasurers Office","37001020","1","2315"</v>
      </c>
      <c r="D752" s="16" t="s">
        <v>12226</v>
      </c>
      <c r="E752" s="16" t="s">
        <v>12227</v>
      </c>
      <c r="F752" s="18">
        <v>0</v>
      </c>
      <c r="G752" s="18">
        <v>2163778.23</v>
      </c>
      <c r="H752" s="18">
        <v>2025142.53</v>
      </c>
      <c r="I752" s="18">
        <v>0</v>
      </c>
      <c r="J752" s="18">
        <v>0</v>
      </c>
      <c r="K752" s="18">
        <v>0</v>
      </c>
      <c r="L752" s="18">
        <v>0</v>
      </c>
      <c r="M752" s="20">
        <v>138635.70000000001</v>
      </c>
      <c r="N752" s="20"/>
      <c r="O752" s="19"/>
    </row>
    <row r="753" spans="1:15" s="16" customFormat="1" x14ac:dyDescent="0.25">
      <c r="A753" s="16" t="s">
        <v>51</v>
      </c>
      <c r="B753" s="16" t="str">
        <f t="shared" si="11"/>
        <v>show</v>
      </c>
      <c r="C753" s="17" t="str">
        <f>"""MO State Treasurer"",""MO State Treasurers Office"",""37001020"",""1"",""2320"""</f>
        <v>"MO State Treasurer","MO State Treasurers Office","37001020","1","2320"</v>
      </c>
      <c r="D753" s="16" t="s">
        <v>12228</v>
      </c>
      <c r="E753" s="16" t="s">
        <v>12229</v>
      </c>
      <c r="F753" s="18">
        <v>1.98</v>
      </c>
      <c r="G753" s="18">
        <v>3928470.0000000005</v>
      </c>
      <c r="H753" s="18">
        <v>3899921.29</v>
      </c>
      <c r="I753" s="18">
        <v>0</v>
      </c>
      <c r="J753" s="18">
        <v>0</v>
      </c>
      <c r="K753" s="18">
        <v>0</v>
      </c>
      <c r="L753" s="18">
        <v>0</v>
      </c>
      <c r="M753" s="20">
        <v>28550.69</v>
      </c>
      <c r="N753" s="20"/>
      <c r="O753" s="19"/>
    </row>
    <row r="754" spans="1:15" s="16" customFormat="1" x14ac:dyDescent="0.25">
      <c r="A754" s="16" t="s">
        <v>51</v>
      </c>
      <c r="B754" s="16" t="str">
        <f t="shared" si="11"/>
        <v>show</v>
      </c>
      <c r="C754" s="17" t="str">
        <f>"""MO State Treasurer"",""MO State Treasurers Office"",""37001020"",""1"",""2325"""</f>
        <v>"MO State Treasurer","MO State Treasurers Office","37001020","1","2325"</v>
      </c>
      <c r="D754" s="16" t="s">
        <v>12230</v>
      </c>
      <c r="E754" s="16" t="s">
        <v>12231</v>
      </c>
      <c r="F754" s="18">
        <v>29842.52</v>
      </c>
      <c r="G754" s="18">
        <v>0</v>
      </c>
      <c r="H754" s="18">
        <v>-57750.360000000008</v>
      </c>
      <c r="I754" s="18">
        <v>0</v>
      </c>
      <c r="J754" s="18">
        <v>-33185.629999999997</v>
      </c>
      <c r="K754" s="18">
        <v>0</v>
      </c>
      <c r="L754" s="18">
        <v>0.36</v>
      </c>
      <c r="M754" s="20">
        <v>120778.15000000001</v>
      </c>
      <c r="N754" s="20"/>
      <c r="O754" s="19"/>
    </row>
    <row r="755" spans="1:15" s="16" customFormat="1" x14ac:dyDescent="0.25">
      <c r="A755" s="16" t="s">
        <v>51</v>
      </c>
      <c r="B755" s="16" t="str">
        <f t="shared" si="11"/>
        <v>show</v>
      </c>
      <c r="C755" s="17" t="str">
        <f>"""MO State Treasurer"",""MO State Treasurers Office"",""37001020"",""1"",""2330"""</f>
        <v>"MO State Treasurer","MO State Treasurers Office","37001020","1","2330"</v>
      </c>
      <c r="D755" s="16" t="s">
        <v>12232</v>
      </c>
      <c r="E755" s="16" t="s">
        <v>12233</v>
      </c>
      <c r="F755" s="18">
        <v>1857529.4</v>
      </c>
      <c r="G755" s="18">
        <v>0</v>
      </c>
      <c r="H755" s="18">
        <v>-73000</v>
      </c>
      <c r="I755" s="18">
        <v>0</v>
      </c>
      <c r="J755" s="18">
        <v>-41819.35</v>
      </c>
      <c r="K755" s="18">
        <v>0</v>
      </c>
      <c r="L755" s="18">
        <v>0</v>
      </c>
      <c r="M755" s="20">
        <v>1972348.75</v>
      </c>
      <c r="N755" s="20"/>
      <c r="O755" s="19"/>
    </row>
    <row r="756" spans="1:15" s="16" customFormat="1" x14ac:dyDescent="0.25">
      <c r="A756" s="16" t="s">
        <v>51</v>
      </c>
      <c r="B756" s="16" t="str">
        <f t="shared" si="11"/>
        <v>show</v>
      </c>
      <c r="C756" s="17" t="str">
        <f>"""MO State Treasurer"",""MO State Treasurers Office"",""37001020"",""1"",""2335"""</f>
        <v>"MO State Treasurer","MO State Treasurers Office","37001020","1","2335"</v>
      </c>
      <c r="D756" s="16" t="s">
        <v>12234</v>
      </c>
      <c r="E756" s="16" t="s">
        <v>12235</v>
      </c>
      <c r="F756" s="18">
        <v>1181317911.3199999</v>
      </c>
      <c r="G756" s="18">
        <v>1811179.0899999999</v>
      </c>
      <c r="H756" s="18">
        <v>84361486.969999999</v>
      </c>
      <c r="I756" s="18">
        <v>0</v>
      </c>
      <c r="J756" s="18">
        <v>4522179.3</v>
      </c>
      <c r="K756" s="18">
        <v>0</v>
      </c>
      <c r="L756" s="18">
        <v>69703.56</v>
      </c>
      <c r="M756" s="20">
        <v>1094175720.5800002</v>
      </c>
      <c r="N756" s="20"/>
      <c r="O756" s="19"/>
    </row>
    <row r="757" spans="1:15" s="16" customFormat="1" x14ac:dyDescent="0.25">
      <c r="A757" s="16" t="s">
        <v>51</v>
      </c>
      <c r="B757" s="16" t="str">
        <f t="shared" si="11"/>
        <v>show</v>
      </c>
      <c r="C757" s="17" t="str">
        <f>"""MO State Treasurer"",""MO State Treasurers Office"",""37001020"",""1"",""2340"""</f>
        <v>"MO State Treasurer","MO State Treasurers Office","37001020","1","2340"</v>
      </c>
      <c r="D757" s="16" t="s">
        <v>12236</v>
      </c>
      <c r="E757" s="16" t="s">
        <v>12237</v>
      </c>
      <c r="F757" s="18">
        <v>8613910.0299999993</v>
      </c>
      <c r="G757" s="18">
        <v>0</v>
      </c>
      <c r="H757" s="18">
        <v>212.25</v>
      </c>
      <c r="I757" s="18">
        <v>0</v>
      </c>
      <c r="J757" s="18">
        <v>-562756.96</v>
      </c>
      <c r="K757" s="18">
        <v>0</v>
      </c>
      <c r="L757" s="18">
        <v>16.899999999999999</v>
      </c>
      <c r="M757" s="20">
        <v>9176437.8399999999</v>
      </c>
      <c r="N757" s="20"/>
      <c r="O757" s="19"/>
    </row>
    <row r="758" spans="1:15" s="16" customFormat="1" x14ac:dyDescent="0.25">
      <c r="A758" s="16" t="s">
        <v>51</v>
      </c>
      <c r="B758" s="16" t="str">
        <f t="shared" si="11"/>
        <v>show</v>
      </c>
      <c r="C758" s="17" t="str">
        <f>"""MO State Treasurer"",""MO State Treasurers Office"",""37001020"",""1"",""2345"""</f>
        <v>"MO State Treasurer","MO State Treasurers Office","37001020","1","2345"</v>
      </c>
      <c r="D758" s="16" t="s">
        <v>12238</v>
      </c>
      <c r="E758" s="16" t="s">
        <v>12239</v>
      </c>
      <c r="F758" s="18">
        <v>13109798.939999999</v>
      </c>
      <c r="G758" s="18">
        <v>41641.14</v>
      </c>
      <c r="H758" s="18">
        <v>-656671.59</v>
      </c>
      <c r="I758" s="18">
        <v>0</v>
      </c>
      <c r="J758" s="18">
        <v>-988402.06</v>
      </c>
      <c r="K758" s="18">
        <v>134254.97</v>
      </c>
      <c r="L758" s="18">
        <v>24489.05</v>
      </c>
      <c r="M758" s="20">
        <v>14906279.65</v>
      </c>
      <c r="N758" s="20"/>
      <c r="O758" s="19"/>
    </row>
    <row r="759" spans="1:15" s="16" customFormat="1" x14ac:dyDescent="0.25">
      <c r="A759" s="16" t="s">
        <v>51</v>
      </c>
      <c r="B759" s="16" t="str">
        <f t="shared" si="11"/>
        <v>show</v>
      </c>
      <c r="C759" s="17" t="str">
        <f>"""MO State Treasurer"",""MO State Treasurers Office"",""37001020"",""1"",""2350"""</f>
        <v>"MO State Treasurer","MO State Treasurers Office","37001020","1","2350"</v>
      </c>
      <c r="D759" s="16" t="s">
        <v>12240</v>
      </c>
      <c r="E759" s="16" t="s">
        <v>12241</v>
      </c>
      <c r="F759" s="18">
        <v>1884334.49</v>
      </c>
      <c r="G759" s="18">
        <v>16327305.549999999</v>
      </c>
      <c r="H759" s="18">
        <v>16227487.299999999</v>
      </c>
      <c r="I759" s="18">
        <v>0</v>
      </c>
      <c r="J759" s="18">
        <v>14386.2</v>
      </c>
      <c r="K759" s="18">
        <v>0</v>
      </c>
      <c r="L759" s="18">
        <v>2864.66</v>
      </c>
      <c r="M759" s="20">
        <v>1966901.88</v>
      </c>
      <c r="N759" s="20"/>
      <c r="O759" s="19"/>
    </row>
    <row r="760" spans="1:15" s="16" customFormat="1" x14ac:dyDescent="0.25">
      <c r="A760" s="16" t="s">
        <v>51</v>
      </c>
      <c r="B760" s="16" t="str">
        <f t="shared" si="11"/>
        <v>show</v>
      </c>
      <c r="C760" s="17" t="str">
        <f>"""MO State Treasurer"",""MO State Treasurers Office"",""37001020"",""1"",""2355"""</f>
        <v>"MO State Treasurer","MO State Treasurers Office","37001020","1","2355"</v>
      </c>
      <c r="D760" s="16" t="s">
        <v>12242</v>
      </c>
      <c r="E760" s="16" t="s">
        <v>12243</v>
      </c>
      <c r="F760" s="18">
        <v>1351416.56</v>
      </c>
      <c r="G760" s="18">
        <v>2932133.42</v>
      </c>
      <c r="H760" s="18">
        <v>3214698.0200000005</v>
      </c>
      <c r="I760" s="18">
        <v>0</v>
      </c>
      <c r="J760" s="18">
        <v>-75772.23</v>
      </c>
      <c r="K760" s="18">
        <v>0</v>
      </c>
      <c r="L760" s="18">
        <v>11015.02</v>
      </c>
      <c r="M760" s="20">
        <v>1133609.17</v>
      </c>
      <c r="N760" s="20"/>
      <c r="O760" s="19"/>
    </row>
    <row r="761" spans="1:15" s="16" customFormat="1" hidden="1" x14ac:dyDescent="0.25">
      <c r="A761" s="16" t="s">
        <v>51</v>
      </c>
      <c r="B761" s="16" t="str">
        <f t="shared" si="11"/>
        <v>hide</v>
      </c>
      <c r="C761" s="17" t="str">
        <f>"""MO State Treasurer"",""MO State Treasurers Office"",""37001020"",""1"",""2360"""</f>
        <v>"MO State Treasurer","MO State Treasurers Office","37001020","1","2360"</v>
      </c>
      <c r="D761" s="16" t="s">
        <v>12244</v>
      </c>
      <c r="E761" s="16" t="s">
        <v>12245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51</v>
      </c>
      <c r="B762" s="16" t="str">
        <f t="shared" si="11"/>
        <v>hide</v>
      </c>
      <c r="C762" s="17" t="str">
        <f>"""MO State Treasurer"",""MO State Treasurers Office"",""37001020"",""1"",""2365"""</f>
        <v>"MO State Treasurer","MO State Treasurers Office","37001020","1","2365"</v>
      </c>
      <c r="D762" s="16" t="s">
        <v>12246</v>
      </c>
      <c r="E762" s="16" t="s">
        <v>12247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51</v>
      </c>
      <c r="B763" s="16" t="str">
        <f t="shared" si="11"/>
        <v>hide</v>
      </c>
      <c r="C763" s="17" t="str">
        <f>"""MO State Treasurer"",""MO State Treasurers Office"",""37001020"",""1"",""2370"""</f>
        <v>"MO State Treasurer","MO State Treasurers Office","37001020","1","2370"</v>
      </c>
      <c r="D763" s="16" t="s">
        <v>12248</v>
      </c>
      <c r="E763" s="16" t="s">
        <v>12249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51</v>
      </c>
      <c r="B764" s="16" t="str">
        <f t="shared" si="11"/>
        <v>show</v>
      </c>
      <c r="C764" s="17" t="str">
        <f>"""MO State Treasurer"",""MO State Treasurers Office"",""37001020"",""1"",""2375"""</f>
        <v>"MO State Treasurer","MO State Treasurers Office","37001020","1","2375"</v>
      </c>
      <c r="D764" s="16" t="s">
        <v>12250</v>
      </c>
      <c r="E764" s="16" t="s">
        <v>12251</v>
      </c>
      <c r="F764" s="18">
        <v>762976.64</v>
      </c>
      <c r="G764" s="18">
        <v>0</v>
      </c>
      <c r="H764" s="18">
        <v>656494.14</v>
      </c>
      <c r="I764" s="18">
        <v>0</v>
      </c>
      <c r="J764" s="18">
        <v>2393.96</v>
      </c>
      <c r="K764" s="18">
        <v>0</v>
      </c>
      <c r="L764" s="18">
        <v>91060.79</v>
      </c>
      <c r="M764" s="20">
        <v>13027.75</v>
      </c>
      <c r="N764" s="20"/>
      <c r="O764" s="19"/>
    </row>
    <row r="765" spans="1:15" s="16" customFormat="1" hidden="1" x14ac:dyDescent="0.25">
      <c r="A765" s="16" t="s">
        <v>51</v>
      </c>
      <c r="B765" s="16" t="str">
        <f t="shared" si="11"/>
        <v>hide</v>
      </c>
      <c r="C765" s="17" t="str">
        <f>"""MO State Treasurer"",""MO State Treasurers Office"",""37001020"",""1"",""2380"""</f>
        <v>"MO State Treasurer","MO State Treasurers Office","37001020","1","2380"</v>
      </c>
      <c r="D765" s="16" t="s">
        <v>12252</v>
      </c>
      <c r="E765" s="16" t="s">
        <v>12253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51</v>
      </c>
      <c r="B766" s="16" t="str">
        <f t="shared" si="11"/>
        <v>show</v>
      </c>
      <c r="C766" s="17" t="str">
        <f>"""MO State Treasurer"",""MO State Treasurers Office"",""37001020"",""1"",""2385"""</f>
        <v>"MO State Treasurer","MO State Treasurers Office","37001020","1","2385"</v>
      </c>
      <c r="D766" s="16" t="s">
        <v>12254</v>
      </c>
      <c r="E766" s="16" t="s">
        <v>12255</v>
      </c>
      <c r="F766" s="18">
        <v>3828182.2199999997</v>
      </c>
      <c r="G766" s="18">
        <v>32224</v>
      </c>
      <c r="H766" s="18">
        <v>920223.72999999986</v>
      </c>
      <c r="I766" s="18">
        <v>0</v>
      </c>
      <c r="J766" s="18">
        <v>0</v>
      </c>
      <c r="K766" s="18">
        <v>0</v>
      </c>
      <c r="L766" s="18">
        <v>0</v>
      </c>
      <c r="M766" s="20">
        <v>2940182.49</v>
      </c>
      <c r="N766" s="20"/>
      <c r="O766" s="19"/>
    </row>
    <row r="767" spans="1:15" s="16" customFormat="1" hidden="1" x14ac:dyDescent="0.25">
      <c r="A767" s="16" t="s">
        <v>51</v>
      </c>
      <c r="B767" s="16" t="str">
        <f t="shared" si="11"/>
        <v>hide</v>
      </c>
      <c r="C767" s="17" t="str">
        <f>"""MO State Treasurer"",""MO State Treasurers Office"",""37001020"",""1"",""2390"""</f>
        <v>"MO State Treasurer","MO State Treasurers Office","37001020","1","2390"</v>
      </c>
      <c r="D767" s="16" t="s">
        <v>12256</v>
      </c>
      <c r="E767" s="16" t="s">
        <v>12257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51</v>
      </c>
      <c r="B768" s="16" t="str">
        <f t="shared" si="11"/>
        <v>hide</v>
      </c>
      <c r="C768" s="17" t="str">
        <f>"""MO State Treasurer"",""MO State Treasurers Office"",""37001020"",""1"",""2395"""</f>
        <v>"MO State Treasurer","MO State Treasurers Office","37001020","1","2395"</v>
      </c>
      <c r="D768" s="16" t="s">
        <v>12258</v>
      </c>
      <c r="E768" s="16" t="s">
        <v>12259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tr">
        <f t="shared" si="11"/>
        <v>hide</v>
      </c>
      <c r="C769" s="17" t="str">
        <f>"""MO State Treasurer"",""MO State Treasurers Office"",""37001020"",""1"",""9007"""</f>
        <v>"MO State Treasurer","MO State Treasurers Office","37001020","1","9007"</v>
      </c>
      <c r="D769" s="16" t="s">
        <v>12260</v>
      </c>
      <c r="E769" s="16" t="s">
        <v>12261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tr">
        <f t="shared" si="11"/>
        <v>hide</v>
      </c>
      <c r="C770" s="17" t="str">
        <f>"""MO State Treasurer"",""MO State Treasurers Office"",""37001020"",""1"",""9009A"""</f>
        <v>"MO State Treasurer","MO State Treasurers Office","37001020","1","9009A"</v>
      </c>
      <c r="D770" s="16" t="s">
        <v>12262</v>
      </c>
      <c r="E770" s="16" t="s">
        <v>12263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tr">
        <f t="shared" si="11"/>
        <v>hide</v>
      </c>
      <c r="C771" s="17" t="str">
        <f>"""MO State Treasurer"",""MO State Treasurers Office"",""37001020"",""1"",""9010A"""</f>
        <v>"MO State Treasurer","MO State Treasurers Office","37001020","1","9010A"</v>
      </c>
      <c r="D771" s="16" t="s">
        <v>12264</v>
      </c>
      <c r="E771" s="16" t="s">
        <v>12265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tr">
        <f t="shared" si="11"/>
        <v>hide</v>
      </c>
      <c r="C772" s="17" t="str">
        <f>"""MO State Treasurer"",""MO State Treasurers Office"",""37001020"",""1"",""9011"""</f>
        <v>"MO State Treasurer","MO State Treasurers Office","37001020","1","9011"</v>
      </c>
      <c r="D772" s="16" t="s">
        <v>12266</v>
      </c>
      <c r="E772" s="16" t="s">
        <v>12267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tr">
        <f t="shared" si="11"/>
        <v>hide</v>
      </c>
      <c r="C773" s="17" t="str">
        <f>"""MO State Treasurer"",""MO State Treasurers Office"",""37001020"",""1"",""9015"""</f>
        <v>"MO State Treasurer","MO State Treasurers Office","37001020","1","9015"</v>
      </c>
      <c r="D773" s="16" t="s">
        <v>12268</v>
      </c>
      <c r="E773" s="16" t="s">
        <v>12269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51</v>
      </c>
      <c r="B774" s="16" t="str">
        <f t="shared" si="11"/>
        <v>hide</v>
      </c>
      <c r="C774" s="17" t="str">
        <f>"""MO State Treasurer"",""MO State Treasurers Office"",""37001020"",""1"",""9020"""</f>
        <v>"MO State Treasurer","MO State Treasurers Office","37001020","1","9020"</v>
      </c>
      <c r="D774" s="16" t="s">
        <v>12270</v>
      </c>
      <c r="E774" s="16" t="s">
        <v>12271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x14ac:dyDescent="0.25">
      <c r="C775" s="17"/>
      <c r="F775" s="18">
        <v>6863457923.9699955</v>
      </c>
      <c r="G775" s="18">
        <v>2651567278.1199994</v>
      </c>
      <c r="H775" s="18">
        <v>2504308059.3600001</v>
      </c>
      <c r="I775" s="18">
        <v>704718118.06000006</v>
      </c>
      <c r="J775" s="18">
        <v>704718118.06000006</v>
      </c>
      <c r="K775" s="18">
        <v>19471056.909999996</v>
      </c>
      <c r="L775" s="18">
        <v>18578410.999999996</v>
      </c>
      <c r="M775" s="20">
        <v>7011609788.6399994</v>
      </c>
      <c r="N775" s="20"/>
      <c r="O775" s="19"/>
    </row>
    <row r="776" spans="1:15" s="16" customFormat="1" x14ac:dyDescent="0.25">
      <c r="C776" s="17"/>
      <c r="F776" s="18"/>
      <c r="G776" s="18"/>
      <c r="H776" s="18"/>
      <c r="I776" s="18"/>
      <c r="J776" s="18"/>
      <c r="K776" s="18"/>
      <c r="L776" s="18"/>
      <c r="M776" s="20"/>
      <c r="N776" s="20"/>
      <c r="O776" s="19"/>
    </row>
    <row r="777" spans="1:15" s="16" customFormat="1" x14ac:dyDescent="0.25">
      <c r="C777" s="17"/>
      <c r="F777" s="18"/>
      <c r="G777" s="18"/>
      <c r="H777" s="18"/>
      <c r="I777" s="18"/>
      <c r="J777" s="18"/>
      <c r="K777" s="18"/>
      <c r="L777" s="18"/>
      <c r="M777" s="20"/>
      <c r="N777" s="20"/>
      <c r="O777" s="19"/>
    </row>
    <row r="778" spans="1:15" s="16" customFormat="1" x14ac:dyDescent="0.25">
      <c r="A778" s="16" t="s">
        <v>51</v>
      </c>
      <c r="B778" s="16" t="str">
        <f t="shared" si="11"/>
        <v>show</v>
      </c>
      <c r="C778" s="17" t="str">
        <f>"""MO State Treasurer"",""MO State Treasurers Office"",""37001020"",""1"",""9997"""</f>
        <v>"MO State Treasurer","MO State Treasurers Office","37001020","1","9997"</v>
      </c>
      <c r="D778" s="16" t="s">
        <v>12272</v>
      </c>
      <c r="E778" s="16" t="s">
        <v>12273</v>
      </c>
      <c r="F778" s="18">
        <v>578.91</v>
      </c>
      <c r="G778" s="18">
        <v>88113.42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20">
        <v>88692.33</v>
      </c>
      <c r="N778" s="20"/>
      <c r="O778" s="19"/>
    </row>
    <row r="779" spans="1:15" s="16" customFormat="1" hidden="1" x14ac:dyDescent="0.25">
      <c r="A779" s="16" t="s">
        <v>51</v>
      </c>
      <c r="B779" s="16" t="str">
        <f t="shared" si="11"/>
        <v>hide</v>
      </c>
      <c r="C779" s="17" t="str">
        <f>"""MO State Treasurer"",""MO State Treasurers Office"",""37001020"",""1"",""9998"""</f>
        <v>"MO State Treasurer","MO State Treasurers Office","37001020","1","9998"</v>
      </c>
      <c r="D779" s="16" t="s">
        <v>12274</v>
      </c>
      <c r="E779" s="16" t="s">
        <v>12275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x14ac:dyDescent="0.25">
      <c r="C780" s="17"/>
      <c r="F780" s="18"/>
      <c r="G780" s="18"/>
      <c r="H780" s="18"/>
      <c r="I780" s="18"/>
      <c r="J780" s="18"/>
      <c r="K780" s="18"/>
      <c r="L780" s="18"/>
      <c r="M780" s="20"/>
      <c r="N780" s="20"/>
      <c r="O780" s="19"/>
    </row>
    <row r="781" spans="1:15" s="16" customFormat="1" x14ac:dyDescent="0.25">
      <c r="C781" s="17"/>
      <c r="F781" s="18"/>
      <c r="G781" s="18"/>
      <c r="H781" s="18"/>
      <c r="I781" s="18"/>
      <c r="J781" s="18"/>
      <c r="K781" s="18"/>
      <c r="L781" s="18"/>
      <c r="M781" s="20"/>
      <c r="N781" s="20"/>
      <c r="O781" s="19"/>
    </row>
    <row r="782" spans="1:15" x14ac:dyDescent="0.25">
      <c r="D782" t="s">
        <v>23</v>
      </c>
    </row>
    <row r="783" spans="1:15" x14ac:dyDescent="0.25">
      <c r="D783" t="s">
        <v>24</v>
      </c>
      <c r="F783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3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3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7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10667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10668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10669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10737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4142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4149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4156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4163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4170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4177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4184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4191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4198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4205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4212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4219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4226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4233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4240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4247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4254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4261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4268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4275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4282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4289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4296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4303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4310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4317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4324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4331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4338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4345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4352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4359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4366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4373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4380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4387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4394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4401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4408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4415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4422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4429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4436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4443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4450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4457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4464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4471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4478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4485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4492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4499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4506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4513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4520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4527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4534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4541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4548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4555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4562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4569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4576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4583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4590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4597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4604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4611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4618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4625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4632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4639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4646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4653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4660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4667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4674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4681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4688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4695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4702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4709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4716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4723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4730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4737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4744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4751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4758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4765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4772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4779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4786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4793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4800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4807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4814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4821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4828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4835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4842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4849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4856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4863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4870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4877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4884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4891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4898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4905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4912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4919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4926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4933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4940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4947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4954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4961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4968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4975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4982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4989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4996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5003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5010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5017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5024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5031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5038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5045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5052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5059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5066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5073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5080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5087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5094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5101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5108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5115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5122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5129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5136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5143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5150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5157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5164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5171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5178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5185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5192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5199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5206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5213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5220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5227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5234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5241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5248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5255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5262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5269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5276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5283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5290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10670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10671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5297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5304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10672</v>
      </c>
      <c r="C771" s="21" t="s">
        <v>5311</v>
      </c>
      <c r="D771" s="21" t="s">
        <v>10702</v>
      </c>
      <c r="E771" s="21" t="s">
        <v>10732</v>
      </c>
      <c r="F771" s="21" t="s">
        <v>10707</v>
      </c>
      <c r="G771" s="21" t="s">
        <v>10673</v>
      </c>
      <c r="H771" s="21" t="s">
        <v>10712</v>
      </c>
      <c r="I771" s="21" t="s">
        <v>10674</v>
      </c>
      <c r="J771" s="21" t="s">
        <v>10717</v>
      </c>
      <c r="K771" s="21" t="s">
        <v>10675</v>
      </c>
      <c r="L771" s="21" t="s">
        <v>10722</v>
      </c>
      <c r="M771" s="21" t="s">
        <v>10727</v>
      </c>
      <c r="N771" s="21" t="s">
        <v>10676</v>
      </c>
      <c r="O771" s="21" t="s">
        <v>10677</v>
      </c>
    </row>
    <row r="772" spans="1:15" x14ac:dyDescent="0.25">
      <c r="A772" s="21" t="s">
        <v>51</v>
      </c>
      <c r="B772" s="21" t="s">
        <v>10678</v>
      </c>
      <c r="C772" s="21" t="s">
        <v>5318</v>
      </c>
      <c r="D772" s="21" t="s">
        <v>10703</v>
      </c>
      <c r="E772" s="21" t="s">
        <v>10733</v>
      </c>
      <c r="F772" s="21" t="s">
        <v>10708</v>
      </c>
      <c r="G772" s="21" t="s">
        <v>10679</v>
      </c>
      <c r="H772" s="21" t="s">
        <v>10713</v>
      </c>
      <c r="I772" s="21" t="s">
        <v>10680</v>
      </c>
      <c r="J772" s="21" t="s">
        <v>10718</v>
      </c>
      <c r="K772" s="21" t="s">
        <v>10681</v>
      </c>
      <c r="L772" s="21" t="s">
        <v>10723</v>
      </c>
      <c r="M772" s="21" t="s">
        <v>10728</v>
      </c>
      <c r="N772" s="21" t="s">
        <v>10682</v>
      </c>
      <c r="O772" s="21" t="s">
        <v>10683</v>
      </c>
    </row>
    <row r="773" spans="1:15" x14ac:dyDescent="0.25">
      <c r="A773" s="21" t="s">
        <v>51</v>
      </c>
      <c r="B773" s="21" t="s">
        <v>10684</v>
      </c>
      <c r="C773" s="21" t="s">
        <v>5325</v>
      </c>
      <c r="D773" s="21" t="s">
        <v>10704</v>
      </c>
      <c r="E773" s="21" t="s">
        <v>10734</v>
      </c>
      <c r="F773" s="21" t="s">
        <v>10709</v>
      </c>
      <c r="G773" s="21" t="s">
        <v>10685</v>
      </c>
      <c r="H773" s="21" t="s">
        <v>10714</v>
      </c>
      <c r="I773" s="21" t="s">
        <v>10686</v>
      </c>
      <c r="J773" s="21" t="s">
        <v>10719</v>
      </c>
      <c r="K773" s="21" t="s">
        <v>10687</v>
      </c>
      <c r="L773" s="21" t="s">
        <v>10724</v>
      </c>
      <c r="M773" s="21" t="s">
        <v>10729</v>
      </c>
      <c r="N773" s="21" t="s">
        <v>10688</v>
      </c>
      <c r="O773" s="21" t="s">
        <v>10689</v>
      </c>
    </row>
    <row r="774" spans="1:15" x14ac:dyDescent="0.25">
      <c r="A774" s="21" t="s">
        <v>51</v>
      </c>
      <c r="B774" s="21" t="s">
        <v>10690</v>
      </c>
      <c r="C774" s="21" t="s">
        <v>5332</v>
      </c>
      <c r="D774" s="21" t="s">
        <v>10705</v>
      </c>
      <c r="E774" s="21" t="s">
        <v>10735</v>
      </c>
      <c r="F774" s="21" t="s">
        <v>10710</v>
      </c>
      <c r="G774" s="21" t="s">
        <v>10691</v>
      </c>
      <c r="H774" s="21" t="s">
        <v>10715</v>
      </c>
      <c r="I774" s="21" t="s">
        <v>10692</v>
      </c>
      <c r="J774" s="21" t="s">
        <v>10720</v>
      </c>
      <c r="K774" s="21" t="s">
        <v>10693</v>
      </c>
      <c r="L774" s="21" t="s">
        <v>10725</v>
      </c>
      <c r="M774" s="21" t="s">
        <v>10730</v>
      </c>
      <c r="N774" s="21" t="s">
        <v>10694</v>
      </c>
      <c r="O774" s="21" t="s">
        <v>10695</v>
      </c>
    </row>
    <row r="775" spans="1:15" x14ac:dyDescent="0.25">
      <c r="A775" s="21" t="s">
        <v>51</v>
      </c>
      <c r="B775" s="21" t="s">
        <v>10696</v>
      </c>
      <c r="C775" s="21" t="s">
        <v>5339</v>
      </c>
      <c r="D775" s="21" t="s">
        <v>10706</v>
      </c>
      <c r="E775" s="21" t="s">
        <v>10736</v>
      </c>
      <c r="F775" s="21" t="s">
        <v>10711</v>
      </c>
      <c r="G775" s="21" t="s">
        <v>10697</v>
      </c>
      <c r="H775" s="21" t="s">
        <v>10716</v>
      </c>
      <c r="I775" s="21" t="s">
        <v>10698</v>
      </c>
      <c r="J775" s="21" t="s">
        <v>10721</v>
      </c>
      <c r="K775" s="21" t="s">
        <v>10699</v>
      </c>
      <c r="L775" s="21" t="s">
        <v>10726</v>
      </c>
      <c r="M775" s="21" t="s">
        <v>10731</v>
      </c>
      <c r="N775" s="21" t="s">
        <v>10700</v>
      </c>
      <c r="O775" s="21" t="s">
        <v>10701</v>
      </c>
    </row>
    <row r="776" spans="1:15" x14ac:dyDescent="0.25">
      <c r="A776" s="21" t="s">
        <v>51</v>
      </c>
      <c r="B776" s="21" t="s">
        <v>10738</v>
      </c>
      <c r="C776" s="21" t="s">
        <v>5346</v>
      </c>
      <c r="D776" s="21" t="s">
        <v>10744</v>
      </c>
      <c r="E776" s="21" t="s">
        <v>10750</v>
      </c>
      <c r="F776" s="21" t="s">
        <v>10745</v>
      </c>
      <c r="G776" s="21" t="s">
        <v>10739</v>
      </c>
      <c r="H776" s="21" t="s">
        <v>10746</v>
      </c>
      <c r="I776" s="21" t="s">
        <v>10740</v>
      </c>
      <c r="J776" s="21" t="s">
        <v>10747</v>
      </c>
      <c r="K776" s="21" t="s">
        <v>10741</v>
      </c>
      <c r="L776" s="21" t="s">
        <v>10748</v>
      </c>
      <c r="M776" s="21" t="s">
        <v>10749</v>
      </c>
      <c r="N776" s="21" t="s">
        <v>10742</v>
      </c>
      <c r="O776" s="21" t="s">
        <v>10743</v>
      </c>
    </row>
    <row r="813" spans="4:6" x14ac:dyDescent="0.25">
      <c r="D813" s="21" t="s">
        <v>23</v>
      </c>
    </row>
    <row r="814" spans="4:6" x14ac:dyDescent="0.25">
      <c r="D814" s="21" t="s">
        <v>24</v>
      </c>
      <c r="F814" s="21" t="s">
        <v>49</v>
      </c>
    </row>
    <row r="816" spans="4:6" x14ac:dyDescent="0.25">
      <c r="D816" s="21" t="s">
        <v>23</v>
      </c>
    </row>
    <row r="817" spans="4:6" x14ac:dyDescent="0.25">
      <c r="D817" s="21" t="s">
        <v>24</v>
      </c>
      <c r="F817" s="21" t="s">
        <v>49</v>
      </c>
    </row>
    <row r="819" spans="4:6" x14ac:dyDescent="0.25">
      <c r="D819" s="21" t="s">
        <v>23</v>
      </c>
    </row>
    <row r="820" spans="4:6" x14ac:dyDescent="0.25">
      <c r="D820" s="21" t="s">
        <v>24</v>
      </c>
      <c r="F820" s="21" t="s">
        <v>49</v>
      </c>
    </row>
    <row r="822" spans="4:6" x14ac:dyDescent="0.25">
      <c r="D822" s="21" t="s">
        <v>23</v>
      </c>
    </row>
    <row r="823" spans="4:6" x14ac:dyDescent="0.25">
      <c r="D823" s="21" t="s">
        <v>24</v>
      </c>
      <c r="F823" s="21" t="s">
        <v>49</v>
      </c>
    </row>
    <row r="825" spans="4:6" x14ac:dyDescent="0.25">
      <c r="D825" s="21" t="s">
        <v>23</v>
      </c>
    </row>
    <row r="826" spans="4:6" x14ac:dyDescent="0.25">
      <c r="D826" s="21" t="s">
        <v>24</v>
      </c>
      <c r="F826" s="21" t="s">
        <v>49</v>
      </c>
    </row>
    <row r="828" spans="4:6" x14ac:dyDescent="0.25">
      <c r="D828" s="21" t="s">
        <v>23</v>
      </c>
    </row>
    <row r="829" spans="4:6" x14ac:dyDescent="0.25">
      <c r="D829" s="21" t="s">
        <v>24</v>
      </c>
      <c r="F829" s="21" t="s">
        <v>49</v>
      </c>
    </row>
    <row r="831" spans="4:6" x14ac:dyDescent="0.25">
      <c r="D831" s="21" t="s">
        <v>23</v>
      </c>
    </row>
    <row r="832" spans="4:6" x14ac:dyDescent="0.25">
      <c r="D832" s="21" t="s">
        <v>24</v>
      </c>
      <c r="F832" s="21" t="s">
        <v>49</v>
      </c>
    </row>
    <row r="834" spans="4:6" x14ac:dyDescent="0.25">
      <c r="D834" s="21" t="s">
        <v>23</v>
      </c>
    </row>
    <row r="835" spans="4:6" x14ac:dyDescent="0.25">
      <c r="D835" s="21" t="s">
        <v>24</v>
      </c>
      <c r="F835" s="21" t="s">
        <v>49</v>
      </c>
    </row>
    <row r="837" spans="4:6" x14ac:dyDescent="0.25">
      <c r="D837" s="21" t="s">
        <v>23</v>
      </c>
    </row>
    <row r="838" spans="4:6" x14ac:dyDescent="0.25">
      <c r="D838" s="21" t="s">
        <v>24</v>
      </c>
      <c r="F838" s="21" t="s">
        <v>49</v>
      </c>
    </row>
    <row r="840" spans="4:6" x14ac:dyDescent="0.25">
      <c r="D840" s="21" t="s">
        <v>23</v>
      </c>
    </row>
    <row r="841" spans="4:6" x14ac:dyDescent="0.25">
      <c r="D841" s="21" t="s">
        <v>24</v>
      </c>
      <c r="F841" s="21" t="s">
        <v>49</v>
      </c>
    </row>
    <row r="843" spans="4:6" x14ac:dyDescent="0.25">
      <c r="D843" s="21" t="s">
        <v>23</v>
      </c>
    </row>
    <row r="844" spans="4:6" x14ac:dyDescent="0.25">
      <c r="D844" s="21" t="s">
        <v>24</v>
      </c>
      <c r="F844" s="21" t="s">
        <v>49</v>
      </c>
    </row>
    <row r="846" spans="4:6" x14ac:dyDescent="0.25">
      <c r="D846" s="21" t="s">
        <v>23</v>
      </c>
    </row>
    <row r="847" spans="4:6" x14ac:dyDescent="0.25">
      <c r="D847" s="21" t="s">
        <v>24</v>
      </c>
      <c r="F847" s="21" t="s">
        <v>49</v>
      </c>
    </row>
    <row r="849" spans="4:6" x14ac:dyDescent="0.25">
      <c r="D849" s="21" t="s">
        <v>23</v>
      </c>
    </row>
    <row r="850" spans="4:6" x14ac:dyDescent="0.25">
      <c r="D850" s="21" t="s">
        <v>24</v>
      </c>
      <c r="F850" s="21" t="s">
        <v>49</v>
      </c>
    </row>
    <row r="852" spans="4:6" x14ac:dyDescent="0.25">
      <c r="D852" s="21" t="s">
        <v>23</v>
      </c>
    </row>
    <row r="853" spans="4:6" x14ac:dyDescent="0.25">
      <c r="D853" s="21" t="s">
        <v>24</v>
      </c>
      <c r="F853" s="21" t="s">
        <v>49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49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49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49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49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49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49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49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49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49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49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49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49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49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49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49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49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49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49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49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49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49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49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49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49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49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49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49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24</v>
      </c>
      <c r="F938" s="21" t="s">
        <v>49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49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49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49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24</v>
      </c>
      <c r="F951" s="21" t="s">
        <v>49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23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23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23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23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23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23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23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23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23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23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23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23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23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23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23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23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23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23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23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23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23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23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23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23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23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23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23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23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23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23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23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23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23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23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23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23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23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23</v>
      </c>
    </row>
    <row r="1157" spans="4:6" x14ac:dyDescent="0.25">
      <c r="D1157" s="21" t="s">
        <v>24</v>
      </c>
      <c r="F1157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2020-10-01T12:28:09Z</cp:lastPrinted>
  <dcterms:created xsi:type="dcterms:W3CDTF">2009-06-26T18:23:00Z</dcterms:created>
  <dcterms:modified xsi:type="dcterms:W3CDTF">2020-10-01T12:54:18Z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